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Q+pBWziniL++5E6L61OfSvomvwnpPpJP+iftKkDlXa/Okxjfe5xxSR+H42tXKjHDr6DAhUkQgsNgLb6qqBqvFg==" workbookSaltValue="0ca746sBgNw1OY5vkvaMJ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N26" i="2"/>
  <c r="M23" i="2"/>
  <c r="N23" i="2"/>
  <c r="F30" i="17"/>
  <c r="F14" i="7"/>
  <c r="T14" i="16"/>
  <c r="T14" i="20"/>
  <c r="BF25" i="8"/>
  <c r="BG16" i="8"/>
  <c r="BF9" i="8"/>
  <c r="C30" i="7"/>
  <c r="AO14" i="21"/>
  <c r="AP14" i="16"/>
  <c r="T23" i="17"/>
  <c r="T26" i="17" s="1"/>
  <c r="T30" i="17" s="1"/>
  <c r="BE17" i="13"/>
  <c r="X32" i="20"/>
  <c r="G23" i="14"/>
  <c r="G30" i="14"/>
  <c r="BF17" i="8" l="1"/>
  <c r="AK31" i="8"/>
  <c r="H28" i="2"/>
  <c r="M14" i="2"/>
  <c r="N14" i="2"/>
  <c r="K23" i="2"/>
  <c r="K30" i="2"/>
  <c r="B16" i="6"/>
  <c r="H21" i="2"/>
  <c r="AY14" i="8"/>
  <c r="Z14" i="17"/>
  <c r="BD16" i="13"/>
  <c r="BE16" i="13"/>
  <c r="BD12" i="8"/>
  <c r="H12" i="7" s="1"/>
  <c r="R8" i="9"/>
  <c r="AA28" i="16" s="1"/>
  <c r="X22" i="17"/>
  <c r="X18" i="17"/>
  <c r="X20" i="20"/>
  <c r="V12" i="16"/>
  <c r="X25" i="16"/>
  <c r="X30" i="16" s="1"/>
  <c r="S29" i="14"/>
  <c r="V29" i="14" s="1"/>
  <c r="R12" i="14"/>
  <c r="R19" i="14"/>
  <c r="R29" i="14"/>
  <c r="T13" i="11"/>
  <c r="T25" i="11"/>
  <c r="T11" i="11"/>
  <c r="S9" i="14"/>
  <c r="V9" i="14" s="1"/>
  <c r="T16" i="11"/>
  <c r="X25" i="17"/>
  <c r="X17" i="17"/>
  <c r="X21" i="17"/>
  <c r="X11" i="17"/>
  <c r="U10" i="21"/>
  <c r="X17" i="20"/>
  <c r="S22" i="17"/>
  <c r="AZ28" i="11"/>
  <c r="X9" i="16"/>
  <c r="X31" i="16" s="1"/>
  <c r="X12" i="16"/>
  <c r="X22" i="16"/>
  <c r="R13" i="17"/>
  <c r="AS14" i="8"/>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BH30" i="16"/>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C30" i="2"/>
  <c r="D30" i="2" s="1"/>
  <c r="AL18" i="11"/>
  <c r="AO21" i="17"/>
  <c r="BI18" i="16"/>
  <c r="B29" i="6"/>
  <c r="AN9" i="11"/>
  <c r="K9" i="7"/>
  <c r="AO11" i="11"/>
  <c r="AL9" i="11"/>
  <c r="H12" i="2"/>
  <c r="H10" i="2"/>
  <c r="AM11" i="11"/>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R32" i="20"/>
  <c r="AA32" i="20"/>
  <c r="AN32" i="20"/>
  <c r="Z32" i="20"/>
  <c r="T32" i="20"/>
  <c r="AM32" i="20"/>
  <c r="Q32" i="20"/>
  <c r="W32" i="21"/>
  <c r="E32" i="20"/>
  <c r="AV32" i="20"/>
  <c r="O32" i="20"/>
  <c r="AQ32" i="21"/>
  <c r="Y32" i="20"/>
  <c r="L32" i="20"/>
  <c r="AJ32" i="20"/>
  <c r="AH32" i="20"/>
  <c r="I32" i="20"/>
  <c r="O18" i="11"/>
  <c r="AB32" i="20"/>
  <c r="AI32" i="20"/>
  <c r="S32" i="20"/>
  <c r="N32" i="20"/>
  <c r="G14" i="14"/>
  <c r="AC32" i="20"/>
  <c r="S19" i="14" l="1"/>
  <c r="V19" i="14" s="1"/>
  <c r="T19" i="20"/>
  <c r="V16" i="16"/>
  <c r="X18" i="20"/>
  <c r="X10" i="17"/>
  <c r="K9" i="12"/>
  <c r="X12" i="21"/>
  <c r="AP17" i="20"/>
  <c r="BH9" i="16"/>
  <c r="BL19" i="11"/>
  <c r="V16" i="11"/>
  <c r="BJ22" i="11"/>
  <c r="BF13" i="11"/>
  <c r="BJ18" i="11"/>
  <c r="BG25" i="11"/>
  <c r="BG10" i="11"/>
  <c r="BH16" i="16"/>
  <c r="BM17" i="11"/>
  <c r="Q18" i="20"/>
  <c r="Q23" i="20" s="1"/>
  <c r="V11" i="16"/>
  <c r="BF28" i="11"/>
  <c r="BF21" i="11"/>
  <c r="BF18" i="11"/>
  <c r="V25" i="11"/>
  <c r="BG20" i="11"/>
  <c r="BF17" i="11"/>
  <c r="BG22" i="11"/>
  <c r="BF10" i="11"/>
  <c r="Q10" i="11" s="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T18" i="11"/>
  <c r="BH11" i="16"/>
  <c r="S20" i="14"/>
  <c r="V20" i="14" s="1"/>
  <c r="BK13" i="11"/>
  <c r="BH16" i="11"/>
  <c r="BH19" i="16"/>
  <c r="P18" i="17"/>
  <c r="BM29" i="11"/>
  <c r="BF29" i="11"/>
  <c r="BH19" i="11"/>
  <c r="BK19" i="11"/>
  <c r="BK9" i="11"/>
  <c r="S9" i="17"/>
  <c r="BG29" i="11"/>
  <c r="BI10" i="11"/>
  <c r="Q10" i="21"/>
  <c r="BM25" i="11"/>
  <c r="BK25" i="11"/>
  <c r="V28" i="11"/>
  <c r="BH20"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S16" i="17"/>
  <c r="S17" i="17"/>
  <c r="L12" i="2"/>
  <c r="L25" i="2"/>
  <c r="L13" i="2"/>
  <c r="X10" i="21"/>
  <c r="X31" i="21" s="1"/>
  <c r="L19" i="2"/>
  <c r="U9" i="17"/>
  <c r="U31" i="17" s="1"/>
  <c r="L9" i="2"/>
  <c r="V25" i="16"/>
  <c r="X13" i="16"/>
  <c r="BF11" i="11"/>
  <c r="BH21" i="16"/>
  <c r="BL9" i="11"/>
  <c r="BH18" i="16"/>
  <c r="BF19" i="11"/>
  <c r="BJ19" i="11"/>
  <c r="BL18" i="11"/>
  <c r="BI28" i="11"/>
  <c r="BK12" i="11"/>
  <c r="BF25" i="11"/>
  <c r="S18" i="16"/>
  <c r="AZ29" i="11"/>
  <c r="BK16" i="11"/>
  <c r="BJ21" i="11"/>
  <c r="V21" i="11"/>
  <c r="BF22" i="11"/>
  <c r="BH9" i="11"/>
  <c r="BI16" i="11"/>
  <c r="BJ29" i="11"/>
  <c r="BM13" i="11"/>
  <c r="BJ12" i="11"/>
  <c r="AP16" i="20"/>
  <c r="BG16" i="11"/>
  <c r="AZ13" i="11"/>
  <c r="BH13" i="11"/>
  <c r="V20" i="11"/>
  <c r="BL13" i="11"/>
  <c r="BL25" i="11"/>
  <c r="BH18" i="11"/>
  <c r="BG19" i="11"/>
  <c r="AZ9" i="11"/>
  <c r="BM20" i="11"/>
  <c r="BJ28" i="11"/>
  <c r="BU28" i="17"/>
  <c r="BU11" i="17"/>
  <c r="BW9" i="20"/>
  <c r="BU21" i="17"/>
  <c r="BV17" i="16"/>
  <c r="BW17" i="20"/>
  <c r="BV25" i="16"/>
  <c r="BW16" i="20"/>
  <c r="U10" i="17"/>
  <c r="BV10" i="16"/>
  <c r="BU18" i="17"/>
  <c r="S11" i="17"/>
  <c r="BV20" i="16"/>
  <c r="AZ22" i="11"/>
  <c r="R28" i="14"/>
  <c r="X16" i="17"/>
  <c r="T17" i="11"/>
  <c r="P16" i="17"/>
  <c r="P23" i="17" s="1"/>
  <c r="P31" i="17" s="1"/>
  <c r="BF12" i="11"/>
  <c r="BH25" i="16"/>
  <c r="BK20" i="11"/>
  <c r="BJ10" i="11"/>
  <c r="Q16" i="17"/>
  <c r="BF16" i="11"/>
  <c r="BL22" i="11"/>
  <c r="BI22" i="11"/>
  <c r="BK10" i="11"/>
  <c r="L22" i="2"/>
  <c r="L16" i="2"/>
  <c r="X19" i="16"/>
  <c r="AA11" i="16"/>
  <c r="V9" i="16"/>
  <c r="BM16" i="11"/>
  <c r="AP26" i="21"/>
  <c r="AP18" i="20"/>
  <c r="BG21" i="11"/>
  <c r="BU25" i="17"/>
  <c r="BV28" i="16"/>
  <c r="BV13" i="16"/>
  <c r="BW13" i="20"/>
  <c r="BV21" i="16"/>
  <c r="BU29" i="17"/>
  <c r="BV11" i="16"/>
  <c r="BU20" i="17"/>
  <c r="BW29" i="20"/>
  <c r="BW22" i="20"/>
  <c r="BV29" i="16"/>
  <c r="BU17" i="17"/>
  <c r="AA20" i="16"/>
  <c r="AZ17" i="11"/>
  <c r="BF20" i="11"/>
  <c r="S16" i="16"/>
  <c r="BL20" i="11"/>
  <c r="Q20" i="11" s="1"/>
  <c r="BL16" i="11"/>
  <c r="BH21" i="11"/>
  <c r="AZ25" i="11"/>
  <c r="AZ30" i="11" s="1"/>
  <c r="BK17" i="11"/>
  <c r="BM18" i="11"/>
  <c r="BH17" i="11"/>
  <c r="AQ12" i="21"/>
  <c r="BH25" i="11"/>
  <c r="BI21" i="11"/>
  <c r="L29" i="2"/>
  <c r="L17" i="2"/>
  <c r="L18" i="2"/>
  <c r="L20" i="2"/>
  <c r="L21" i="2"/>
  <c r="AA9" i="16"/>
  <c r="T28" i="11"/>
  <c r="T19" i="11"/>
  <c r="R22" i="14"/>
  <c r="R11" i="14"/>
  <c r="S21" i="14"/>
  <c r="V21" i="14" s="1"/>
  <c r="S10" i="14"/>
  <c r="V10" i="14" s="1"/>
  <c r="AP14" i="20"/>
  <c r="AO13" i="17"/>
  <c r="AO18" i="17"/>
  <c r="AM20" i="11"/>
  <c r="AM22" i="11"/>
  <c r="AM25" i="11"/>
  <c r="AQ26" i="21"/>
  <c r="AO26" i="17"/>
  <c r="V10" i="21"/>
  <c r="AO17" i="17"/>
  <c r="S28" i="17"/>
  <c r="AM19" i="11"/>
  <c r="AO10" i="17"/>
  <c r="AO30" i="17"/>
  <c r="AP23" i="20"/>
  <c r="AP30" i="21"/>
  <c r="X14" i="20"/>
  <c r="AM17" i="11"/>
  <c r="S13" i="17"/>
  <c r="X16" i="16"/>
  <c r="X23" i="16" s="1"/>
  <c r="X26" i="16" s="1"/>
  <c r="U13" i="17"/>
  <c r="L11" i="2"/>
  <c r="V21" i="16"/>
  <c r="V18" i="16"/>
  <c r="V12" i="21"/>
  <c r="X22" i="20"/>
  <c r="X9" i="17"/>
  <c r="X12" i="17"/>
  <c r="AA10" i="16"/>
  <c r="T20" i="11"/>
  <c r="S16" i="14"/>
  <c r="V16" i="14" s="1"/>
  <c r="T9" i="11"/>
  <c r="T29" i="11"/>
  <c r="T21" i="11"/>
  <c r="AM9" i="11"/>
  <c r="R25" i="14"/>
  <c r="R17" i="14"/>
  <c r="R10" i="14"/>
  <c r="S17" i="14"/>
  <c r="V17" i="14" s="1"/>
  <c r="S12" i="14"/>
  <c r="V12" i="14" s="1"/>
  <c r="V16" i="20"/>
  <c r="V23" i="20" s="1"/>
  <c r="V19" i="16"/>
  <c r="V10" i="16"/>
  <c r="AA12" i="21"/>
  <c r="X19" i="20"/>
  <c r="T18" i="20"/>
  <c r="AA16" i="16"/>
  <c r="X13" i="17"/>
  <c r="AA17" i="16"/>
  <c r="AA25" i="16"/>
  <c r="V13" i="16"/>
  <c r="T22" i="11"/>
  <c r="T12" i="11"/>
  <c r="R18" i="14"/>
  <c r="S18" i="14"/>
  <c r="V18" i="14" s="1"/>
  <c r="S13" i="14"/>
  <c r="V13"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Q21" i="11"/>
  <c r="Q29" i="11"/>
  <c r="P29"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V31" i="20" l="1"/>
  <c r="Q16" i="11"/>
  <c r="BF23" i="11"/>
  <c r="BV14" i="16"/>
  <c r="BK23" i="11"/>
  <c r="Q9" i="11"/>
  <c r="P21" i="11"/>
  <c r="BV23" i="16"/>
  <c r="BV26" i="16" s="1"/>
  <c r="BW33" i="20"/>
  <c r="BU33" i="17"/>
  <c r="P25" i="11"/>
  <c r="BH23" i="11"/>
  <c r="BV30" i="16"/>
  <c r="BJ23" i="11"/>
  <c r="P17" i="11"/>
  <c r="BH14" i="11"/>
  <c r="AZ14" i="11"/>
  <c r="AZ31" i="11"/>
  <c r="P13" i="11"/>
  <c r="Q13" i="11"/>
  <c r="AZ26" i="11"/>
  <c r="S14" i="14"/>
  <c r="BI23" i="11"/>
  <c r="P9" i="11"/>
  <c r="U14" i="17"/>
  <c r="Q25" i="11"/>
  <c r="Q23" i="17"/>
  <c r="Q31" i="17" s="1"/>
  <c r="BK14"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V32" i="11"/>
  <c r="AR32" i="16"/>
  <c r="F32" i="17"/>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G32" i="17"/>
  <c r="I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<sst xmlns="http://schemas.openxmlformats.org/spreadsheetml/2006/main" count="2682" uniqueCount="1193">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</sst>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UvvCeBT1Gk39LghKsjZaVyxhqlSfJ9cPRbbLEyaE2kNRaELjx2/Gu2zBs2FQ3wublV+5+0gUjiTzGi80ZcmJQ==" saltValue="gh2b5WiseKi+fkkzGGyU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12</v>
      </c>
      <c r="F10" s="240">
        <f>IF(ISNUMBER(Datos!K10),Datos!K10," - ")</f>
        <v>13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11.846153846153845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19.337435897435896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12</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744</v>
      </c>
      <c r="D17" s="239">
        <f>IF(ISNUMBER(IF(D_I="SI",Datos!I17,Datos!I17+Datos!AC17)),IF(D_I="SI",Datos!I17,Datos!I17+Datos!AC17)," - ")</f>
        <v>842</v>
      </c>
      <c r="E17" s="240">
        <f>IF(ISNUMBER(IF(D_I="SI",Datos!J17,Datos!J17+Datos!AD17)),IF(D_I="SI",Datos!J17,Datos!J17+Datos!AD17)," - ")</f>
        <v>1181</v>
      </c>
      <c r="F17" s="240">
        <f>IF(ISNUMBER(IF(D_I="SI",Datos!K17,Datos!K17+Datos!AE17)),IF(D_I="SI",Datos!K17,Datos!K17+Datos!AE17)," - ")</f>
        <v>995</v>
      </c>
      <c r="G17" s="1390" t="str">
        <f>IF(Datos!E17&lt;&gt;"",Datos!E17,Datos!D17)</f>
        <v>04</v>
      </c>
      <c r="H17" s="241">
        <f>IF(ISNUMBER(IF(D_I="SI",Datos!L17,Datos!L17+Datos!AF17)),IF(D_I="SI",Datos!L17,Datos!L17+Datos!AF17)," - ")</f>
        <v>930</v>
      </c>
      <c r="I17" s="1400" t="str">
        <f>IF(ISNUMBER(Datos!AS17/Datos!BM17),Datos!AS17/Datos!BM17," - ")</f>
        <v xml:space="preserve"> - </v>
      </c>
      <c r="J17" s="1401">
        <f>IF(ISNUMBER(Datos!BY17/Datos!CN17),Datos!BY17/Datos!CN17," - ")</f>
        <v>0</v>
      </c>
      <c r="K17" s="244">
        <f t="shared" si="3"/>
        <v>0.25</v>
      </c>
      <c r="L17" s="1402">
        <f>IF(ISNUMBER(NºAsuntos!I17/NºAsuntos!G17),(NºAsuntos!I17/NºAsuntos!G17)*11," - ")</f>
        <v>10.28140703517588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110</v>
      </c>
      <c r="F18" s="240">
        <f>IF(ISNUMBER(IF(D_I="SI",Datos!K18,Datos!K18+Datos!AE18)),IF(D_I="SI",Datos!K18,Datos!K18+Datos!AE18)," - ")</f>
        <v>110</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789</v>
      </c>
      <c r="D23" s="1407">
        <f>SUBTOTAL(9,D16:D22)</f>
        <v>887</v>
      </c>
      <c r="E23" s="1408">
        <f>SUBTOTAL(9,E16:E22)</f>
        <v>1291</v>
      </c>
      <c r="F23" s="1408">
        <f>SUBTOTAL(9,F16:F22)</f>
        <v>1105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804</v>
      </c>
      <c r="D31" s="1435">
        <f>SUBTOTAL(9,D9:D30)</f>
        <v>902</v>
      </c>
      <c r="E31" s="1436">
        <f>SUBTOTAL(9,E9:E30)</f>
        <v>1303</v>
      </c>
      <c r="F31" s="1436">
        <f>SUBTOTAL(9,F9:F30)</f>
        <v>1118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D/hBAxwEy/PWRZjvJ2ZqdKLJFd5AtFvZKuKTASrQhmfP21kOdmgZdI6jm589cE9n/xG0C4nsca7LlYYo12U4Q==" saltValue="kp+s6DZfrcOlfobB5rIEX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jKZQxh8UW1yUXLxuVeVgG/apZ/G7vNj7Q50BSAKweFb+mMCmcbd/zxUKmqajR24ODwEAXfs0y4Wn23Bvu+8PA==" saltValue="esFOVmReecnXCnht3tzA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12</v>
      </c>
      <c r="K10" s="194">
        <v>13</v>
      </c>
      <c r="L10" s="194">
        <v>14</v>
      </c>
      <c r="M10" s="194">
        <v>8</v>
      </c>
      <c r="N10" s="194">
        <v>1</v>
      </c>
      <c r="O10" s="194">
        <v>1</v>
      </c>
      <c r="P10" s="194">
        <v>0</v>
      </c>
      <c r="Q10" s="194">
        <v>4</v>
      </c>
      <c r="R10" s="194">
        <v>6</v>
      </c>
      <c r="S10" s="194">
        <v>19</v>
      </c>
      <c r="T10" s="194">
        <v>7</v>
      </c>
      <c r="U10" s="194">
        <v>11</v>
      </c>
      <c r="V10" s="194">
        <v>15</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7</v>
      </c>
      <c r="BA10" s="139">
        <f t="shared" si="0"/>
        <v>11</v>
      </c>
      <c r="BB10" s="139">
        <f t="shared" si="0"/>
        <v>15</v>
      </c>
      <c r="BC10" s="135">
        <f t="shared" si="0"/>
        <v>5</v>
      </c>
      <c r="BD10" s="136">
        <f>IF(ISNUMBER(BA10/AZ10),BA10/AZ10," - ")</f>
        <v>1.5714285714285714</v>
      </c>
      <c r="BE10" s="137">
        <f>IF(ISNUMBER(BB10/BA10),BB10/BA10, " - ")</f>
        <v>1.3636363636363635</v>
      </c>
      <c r="BF10" s="137">
        <f>IF(ISNUMBER(BC10/BA10),BC10/BA10, " - ")</f>
        <v>0.45454545454545453</v>
      </c>
      <c r="BG10" s="209">
        <f>IF(ISNUMBER((AY10+AZ10)/BA10),(AY10+AZ10)/BA10," - ")</f>
        <v>2.3636363636363638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1530</v>
      </c>
      <c r="J12" s="196">
        <v>1066</v>
      </c>
      <c r="K12" s="196">
        <v>908</v>
      </c>
      <c r="L12" s="196">
        <v>1653</v>
      </c>
      <c r="M12" s="196">
        <v>204</v>
      </c>
      <c r="N12" s="196">
        <v>239</v>
      </c>
      <c r="O12" s="194">
        <v>444</v>
      </c>
      <c r="P12" s="196">
        <v>223</v>
      </c>
      <c r="Q12" s="196">
        <v>299</v>
      </c>
      <c r="R12" s="196">
        <v>1917</v>
      </c>
      <c r="S12" s="196">
        <v>1215</v>
      </c>
      <c r="T12" s="196">
        <v>1015</v>
      </c>
      <c r="U12" s="196">
        <v>700</v>
      </c>
      <c r="V12" s="196">
        <v>1530</v>
      </c>
      <c r="W12" s="196">
        <v>198</v>
      </c>
      <c r="X12" s="202">
        <v>264</v>
      </c>
      <c r="Y12" s="204">
        <v>35</v>
      </c>
      <c r="Z12" s="194">
        <v>63</v>
      </c>
      <c r="AA12" s="194">
        <v>67</v>
      </c>
      <c r="AB12" s="194">
        <v>61</v>
      </c>
      <c r="AC12" s="196">
        <v>0</v>
      </c>
      <c r="AD12" s="196">
        <v>0</v>
      </c>
      <c r="AE12" s="196">
        <v>0</v>
      </c>
      <c r="AF12" s="202">
        <v>0</v>
      </c>
      <c r="AG12" s="215">
        <v>46</v>
      </c>
      <c r="AH12" s="196">
        <v>51</v>
      </c>
      <c r="AI12" s="196">
        <v>62</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1261</v>
      </c>
      <c r="AZ12" s="137">
        <f t="shared" si="1"/>
        <v>1066</v>
      </c>
      <c r="BA12" s="137">
        <f t="shared" si="1"/>
        <v>762</v>
      </c>
      <c r="BB12" s="137">
        <f t="shared" si="1"/>
        <v>1565</v>
      </c>
      <c r="BC12" s="135">
        <f>IF(ISNUMBER(X12),X12," - ")</f>
        <v>264</v>
      </c>
      <c r="BD12" s="136">
        <f t="shared" si="2"/>
        <v>0.71482176360225136</v>
      </c>
      <c r="BE12" s="137">
        <f t="shared" si="3"/>
        <v>2.0538057742782154</v>
      </c>
      <c r="BF12" s="137">
        <f t="shared" si="4"/>
        <v>0.34645669291338582</v>
      </c>
      <c r="BG12" s="209">
        <f t="shared" si="5"/>
        <v>3.0538057742782154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1545</v>
      </c>
      <c r="J14" s="197">
        <f t="shared" si="7"/>
        <v>1078</v>
      </c>
      <c r="K14" s="197">
        <f t="shared" si="7"/>
        <v>921</v>
      </c>
      <c r="L14" s="197">
        <f t="shared" si="7"/>
        <v>1667</v>
      </c>
      <c r="M14" s="197">
        <f t="shared" si="7"/>
        <v>212</v>
      </c>
      <c r="N14" s="197">
        <f t="shared" si="7"/>
        <v>240</v>
      </c>
      <c r="O14" s="197">
        <f t="shared" si="7"/>
        <v>445</v>
      </c>
      <c r="P14" s="197">
        <f t="shared" si="7"/>
        <v>223</v>
      </c>
      <c r="Q14" s="197">
        <f t="shared" si="7"/>
        <v>303</v>
      </c>
      <c r="R14" s="197">
        <f t="shared" si="7"/>
        <v>1923</v>
      </c>
      <c r="S14" s="197">
        <f t="shared" si="7"/>
        <v>1234</v>
      </c>
      <c r="T14" s="197">
        <f t="shared" si="7"/>
        <v>1022</v>
      </c>
      <c r="U14" s="197">
        <f t="shared" si="7"/>
        <v>711</v>
      </c>
      <c r="V14" s="197">
        <f t="shared" si="7"/>
        <v>1545</v>
      </c>
      <c r="W14" s="197">
        <f t="shared" si="7"/>
        <v>203</v>
      </c>
      <c r="X14" s="197">
        <f t="shared" si="7"/>
        <v>265</v>
      </c>
      <c r="Y14" s="197">
        <f t="shared" si="7"/>
        <v>35</v>
      </c>
      <c r="Z14" s="197">
        <f t="shared" si="7"/>
        <v>63</v>
      </c>
      <c r="AA14" s="197">
        <f t="shared" si="7"/>
        <v>67</v>
      </c>
      <c r="AB14" s="197">
        <f t="shared" si="7"/>
        <v>61</v>
      </c>
      <c r="AC14" s="197">
        <f t="shared" si="7"/>
        <v>0</v>
      </c>
      <c r="AD14" s="197">
        <f t="shared" si="7"/>
        <v>0</v>
      </c>
      <c r="AE14" s="197">
        <f t="shared" si="7"/>
        <v>0</v>
      </c>
      <c r="AF14" s="197">
        <f>SUBTOTAL(9,AF9:AF13)</f>
        <v>0</v>
      </c>
      <c r="AG14" s="197">
        <f t="shared" ref="AG14:AT14" si="8">SUBTOTAL(9,AG8:AG13)</f>
        <v>46</v>
      </c>
      <c r="AH14" s="197">
        <f t="shared" si="8"/>
        <v>51</v>
      </c>
      <c r="AI14" s="197">
        <f t="shared" si="8"/>
        <v>62</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1280</v>
      </c>
      <c r="AZ14" s="197">
        <f>SUBTOTAL(9,AZ8:AZ13)</f>
        <v>1073</v>
      </c>
      <c r="BA14" s="197">
        <f>SUBTOTAL(9,BA8:BA13)</f>
        <v>773</v>
      </c>
      <c r="BB14" s="197">
        <f>SUBTOTAL(9,BB8:BB13)</f>
        <v>1580</v>
      </c>
      <c r="BC14" s="197">
        <f>SUBTOTAL(9,BC8:BC13)</f>
        <v>269</v>
      </c>
      <c r="BD14" s="219">
        <f>IF(ISNUMBER(BA14/AZ14),BA14/AZ14," - ")</f>
        <v>0.7204100652376515</v>
      </c>
      <c r="BE14" s="220">
        <f>IF(ISNUMBER(BB14/BA14),BB14/BA14, " - ")</f>
        <v>2.0439844760672705</v>
      </c>
      <c r="BF14" s="220">
        <f>IF(ISNUMBER(BC14/BA14),BC14/BA14, " - ")</f>
        <v>0.34799482535575677</v>
      </c>
      <c r="BG14" s="221">
        <f>IF(ISNUMBER((AY14+AZ14)/BA14),(AY14+AZ14)/BA14," - ")</f>
        <v>3.0439844760672705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842</v>
      </c>
      <c r="J17" s="196">
        <v>1181</v>
      </c>
      <c r="K17" s="196">
        <v>995</v>
      </c>
      <c r="L17" s="196">
        <v>930</v>
      </c>
      <c r="M17" s="196">
        <v>129</v>
      </c>
      <c r="N17" s="196">
        <v>527</v>
      </c>
      <c r="O17" s="194">
        <v>0</v>
      </c>
      <c r="P17" s="196">
        <v>17</v>
      </c>
      <c r="Q17" s="196">
        <v>100</v>
      </c>
      <c r="R17" s="196">
        <v>79</v>
      </c>
      <c r="S17" s="196">
        <v>736</v>
      </c>
      <c r="T17" s="196">
        <v>1154</v>
      </c>
      <c r="U17" s="196">
        <v>1049</v>
      </c>
      <c r="V17" s="196">
        <v>842</v>
      </c>
      <c r="W17" s="196">
        <v>151</v>
      </c>
      <c r="X17" s="202">
        <v>564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736</v>
      </c>
      <c r="AZ17" s="137">
        <f t="shared" si="10"/>
        <v>1154</v>
      </c>
      <c r="BA17" s="137">
        <f t="shared" si="10"/>
        <v>1049</v>
      </c>
      <c r="BB17" s="137">
        <f t="shared" si="10"/>
        <v>842</v>
      </c>
      <c r="BC17" s="135">
        <f>IF(ISNUMBER(W17),W17," - ")</f>
        <v>151</v>
      </c>
      <c r="BD17" s="136">
        <f t="shared" ref="BD17:BD22" si="12">IF(ISNUMBER(BA17/AZ17),BA17/AZ17," - ")</f>
        <v>0.90901213171577122</v>
      </c>
      <c r="BE17" s="137">
        <f t="shared" ref="BE17:BE22" si="13">IF(ISNUMBER(BB17/BA17),BB17/BA17, " - ")</f>
        <v>0.80266920877025738</v>
      </c>
      <c r="BF17" s="137">
        <f t="shared" ref="BF17:BF22" si="14">IF(ISNUMBER(BC17/BA17),BC17/BA17, " - ")</f>
        <v>0.14394661582459486</v>
      </c>
      <c r="BG17" s="209">
        <f t="shared" si="11"/>
        <v>1.8017159199237369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110</v>
      </c>
      <c r="K18" s="196">
        <v>110</v>
      </c>
      <c r="L18" s="196">
        <v>45</v>
      </c>
      <c r="M18" s="196">
        <v>14</v>
      </c>
      <c r="N18" s="196">
        <v>48</v>
      </c>
      <c r="O18" s="196">
        <v>0</v>
      </c>
      <c r="P18" s="196">
        <v>1</v>
      </c>
      <c r="Q18" s="196">
        <v>0</v>
      </c>
      <c r="R18" s="196">
        <v>10</v>
      </c>
      <c r="S18" s="196">
        <v>53</v>
      </c>
      <c r="T18" s="196">
        <v>88</v>
      </c>
      <c r="U18" s="196">
        <v>96</v>
      </c>
      <c r="V18" s="196">
        <v>45</v>
      </c>
      <c r="W18" s="196">
        <v>15</v>
      </c>
      <c r="X18" s="202">
        <v>61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88</v>
      </c>
      <c r="BA18" s="139">
        <f t="shared" si="15"/>
        <v>96</v>
      </c>
      <c r="BB18" s="139">
        <f t="shared" si="15"/>
        <v>45</v>
      </c>
      <c r="BC18" s="135">
        <f>IF(ISNUMBER(W18),W18," - ")</f>
        <v>15</v>
      </c>
      <c r="BD18" s="136">
        <f>IF(ISNUMBER(BA18/AZ18),BA18/AZ18," - ")</f>
        <v>1.0909090909090908</v>
      </c>
      <c r="BE18" s="137">
        <f>IF(ISNUMBER(BB18/BA18),BB18/BA18, " - ")</f>
        <v>0.46875</v>
      </c>
      <c r="BF18" s="137">
        <f>IF(ISNUMBER(BC18/BA18),BC18/BA18, " - ")</f>
        <v>0.15625</v>
      </c>
      <c r="BG18" s="209">
        <f>IF(ISNUMBER((AY18+AZ18)/BA18),(AY18+AZ18)/BA18," - ")</f>
        <v>1.46875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887</v>
      </c>
      <c r="J23" s="197">
        <f t="shared" si="21"/>
        <v>1291</v>
      </c>
      <c r="K23" s="197">
        <f t="shared" si="21"/>
        <v>1105</v>
      </c>
      <c r="L23" s="197">
        <f t="shared" si="21"/>
        <v>975</v>
      </c>
      <c r="M23" s="197">
        <f t="shared" si="21"/>
        <v>143</v>
      </c>
      <c r="N23" s="197">
        <f t="shared" si="21"/>
        <v>575</v>
      </c>
      <c r="O23" s="197">
        <f t="shared" si="21"/>
        <v>0</v>
      </c>
      <c r="P23" s="197">
        <f t="shared" si="21"/>
        <v>18</v>
      </c>
      <c r="Q23" s="197">
        <f t="shared" si="21"/>
        <v>100</v>
      </c>
      <c r="R23" s="197">
        <f t="shared" si="21"/>
        <v>89</v>
      </c>
      <c r="S23" s="197">
        <f t="shared" si="21"/>
        <v>789</v>
      </c>
      <c r="T23" s="197">
        <f t="shared" si="21"/>
        <v>1242</v>
      </c>
      <c r="U23" s="197">
        <f t="shared" si="21"/>
        <v>1145</v>
      </c>
      <c r="V23" s="197">
        <f t="shared" si="21"/>
        <v>887</v>
      </c>
      <c r="W23" s="197">
        <f t="shared" si="21"/>
        <v>166</v>
      </c>
      <c r="X23" s="197">
        <f t="shared" si="21"/>
        <v>625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789</v>
      </c>
      <c r="AZ23" s="197">
        <f>SUBTOTAL(9,AZ15:AZ22)</f>
        <v>1242</v>
      </c>
      <c r="BA23" s="197">
        <f>SUBTOTAL(9,BA15:BA22)</f>
        <v>1145</v>
      </c>
      <c r="BB23" s="197">
        <f>SUBTOTAL(9,BB15:BB22)</f>
        <v>887</v>
      </c>
      <c r="BC23" s="197">
        <f>SUBTOTAL(9,BC15:BC22)</f>
        <v>166</v>
      </c>
      <c r="BD23" s="219">
        <f>IF(ISNUMBER(BA23/AZ23),BA23/AZ23," - ")</f>
        <v>0.9219001610305958</v>
      </c>
      <c r="BE23" s="220">
        <f>IF(ISNUMBER(BB23/BA23),BB23/BA23, " - ")</f>
        <v>0.77467248908296948</v>
      </c>
      <c r="BF23" s="220">
        <f>IF(ISNUMBER(BC23/BA23),BC23/BA23, " - ")</f>
        <v>0.14497816593886462</v>
      </c>
      <c r="BG23" s="221">
        <f>IF(ISNUMBER((AY23+AZ23)/BA23),(AY23+AZ23)/BA23," - ")</f>
        <v>1.7737991266375546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2432</v>
      </c>
      <c r="J31" s="144">
        <f t="shared" si="36"/>
        <v>2369</v>
      </c>
      <c r="K31" s="144">
        <f t="shared" si="36"/>
        <v>2026</v>
      </c>
      <c r="L31" s="144">
        <f t="shared" si="36"/>
        <v>2642</v>
      </c>
      <c r="M31" s="144">
        <f t="shared" si="36"/>
        <v>355</v>
      </c>
      <c r="N31" s="144">
        <f t="shared" si="36"/>
        <v>815</v>
      </c>
      <c r="O31" s="144">
        <f t="shared" si="36"/>
        <v>445</v>
      </c>
      <c r="P31" s="144">
        <f t="shared" si="36"/>
        <v>241</v>
      </c>
      <c r="Q31" s="144">
        <f t="shared" si="36"/>
        <v>403</v>
      </c>
      <c r="R31" s="144">
        <f t="shared" si="36"/>
        <v>2012</v>
      </c>
      <c r="S31" s="144">
        <f t="shared" si="36"/>
        <v>2023</v>
      </c>
      <c r="T31" s="144">
        <f t="shared" si="36"/>
        <v>2264</v>
      </c>
      <c r="U31" s="144">
        <f t="shared" si="36"/>
        <v>1856</v>
      </c>
      <c r="V31" s="144">
        <f t="shared" si="36"/>
        <v>2432</v>
      </c>
      <c r="W31" s="144">
        <f t="shared" si="36"/>
        <v>369</v>
      </c>
      <c r="X31" s="144">
        <f t="shared" si="36"/>
        <v>890</v>
      </c>
      <c r="Y31" s="144">
        <f t="shared" si="36"/>
        <v>35</v>
      </c>
      <c r="Z31" s="144">
        <f t="shared" si="36"/>
        <v>63</v>
      </c>
      <c r="AA31" s="144">
        <f t="shared" si="36"/>
        <v>67</v>
      </c>
      <c r="AB31" s="144">
        <f t="shared" si="36"/>
        <v>61</v>
      </c>
      <c r="AC31" s="144">
        <f t="shared" si="36"/>
        <v>0</v>
      </c>
      <c r="AD31" s="144">
        <f t="shared" si="36"/>
        <v>0</v>
      </c>
      <c r="AE31" s="144">
        <f t="shared" si="36"/>
        <v>0</v>
      </c>
      <c r="AF31" s="144">
        <f t="shared" si="36"/>
        <v>0</v>
      </c>
      <c r="AG31" s="144">
        <f t="shared" si="36"/>
        <v>46</v>
      </c>
      <c r="AH31" s="144">
        <f t="shared" si="36"/>
        <v>51</v>
      </c>
      <c r="AI31" s="144">
        <f t="shared" si="36"/>
        <v>62</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2069</v>
      </c>
      <c r="AZ31" s="144">
        <f>SUBTOTAL(9,AZ9:AZ30)</f>
        <v>2315</v>
      </c>
      <c r="BA31" s="144">
        <f>SUBTOTAL(9,BA9:BA30)</f>
        <v>1918</v>
      </c>
      <c r="BB31" s="144">
        <f>SUBTOTAL(9,BB9:BB30)</f>
        <v>2467</v>
      </c>
      <c r="BC31" s="145">
        <f>SUBTOTAL(9,BC9:BC30)</f>
        <v>435</v>
      </c>
      <c r="BD31" s="227">
        <f>IF(ISNUMBER(BA31/AZ31),BA31/AZ31," - ")</f>
        <v>0.82850971922246219</v>
      </c>
      <c r="BE31" s="224">
        <f>IF(ISNUMBER(BB31/BA31),BB31/BA31, " - ")</f>
        <v>1.2862356621480708</v>
      </c>
      <c r="BF31" s="224">
        <f>IF(ISNUMBER(BC31/BA31),BC31/BA31, " - ")</f>
        <v>0.22679874869655892</v>
      </c>
      <c r="BG31" s="145">
        <f>IF(ISNUMBER((AY31+AZ31)/BA31),(AY31+AZ31)/BA31," - ")</f>
        <v>2.2857142857142856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eAyXDgZoTUKK8rnx0ur3bauYcC+wOobSDlzFe+EWfSiOq2O/mpVX1Vp+GSBkqkYz937M4OUFopxSNM8/h774g==" saltValue="1dRxmdoAg0KB90J9MAt2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yzMd+V+XyUjpxmpj6AKVS0io4fu+ORSqPF8f9wRZlQTJKbQ22gUZHPBeAK5hXEhpBAuG1v2riNmYfcqFR25Q==" saltValue="KH9/rai15dNvoC7L+lZr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MOTILLA DEL PALANCAR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4</v>
      </c>
      <c r="AD10" s="549"/>
      <c r="AE10" s="563"/>
      <c r="AF10" s="551">
        <f>IF(ISNUMBER(Datos!L10),Datos!L10,"-")</f>
        <v>14</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v>
      </c>
      <c r="BE10" s="693" t="str">
        <f>IF(ISNUMBER(Datos!BW10),Datos!BW10," - ")</f>
        <v xml:space="preserve"> - </v>
      </c>
      <c r="BF10" s="762" t="str">
        <f>IF(ISNUMBER(Datos!BX10),Datos!BX10," - ")</f>
        <v xml:space="preserve"> - </v>
      </c>
      <c r="BG10" s="763">
        <f>IF(ISNUMBER(Datos!K10/Datos!J10),Datos!K10/Datos!J10," - ")</f>
        <v>1.0833333333333333</v>
      </c>
      <c r="BH10" s="764">
        <f>IF(ISNUMBER(((Datos!L10/Datos!K10)*11)/factor_trimestre),((Datos!L10/Datos!K10)*11)/factor_trimestre," - ")</f>
        <v>11.846153846153845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223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1917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204</v>
      </c>
      <c r="BD12" s="693">
        <f>IF(ISNUMBER(Datos!N12),Datos!N12," - ")</f>
        <v>239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0.86359610274579268</v>
      </c>
      <c r="BH12" s="764">
        <f>IF(ISNUMBER(((IF(J_V="SI",Datos!L12/Datos!K12,(Datos!L12+Datos!AB12)/(Datos!K12+Datos!AA12)))*11)/factor_trimestre),((IF(J_V="SI",Datos!L12/Datos!K12,(Datos!L12+Datos!AB12)/(Datos!K12+Datos!AA12)))*11)/factor_trimestre," - ")</f>
        <v>19.337435897435896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-3.8133467134972406E-2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223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303</v>
      </c>
      <c r="AD14" s="1198">
        <f t="shared" si="2"/>
        <v>0</v>
      </c>
      <c r="AE14" s="1198">
        <f t="shared" si="2"/>
        <v>0</v>
      </c>
      <c r="AF14" s="1198">
        <f t="shared" si="2"/>
        <v>14</v>
      </c>
      <c r="AG14" s="1198">
        <f t="shared" si="2"/>
        <v>0</v>
      </c>
      <c r="AH14" s="1198">
        <f t="shared" si="2"/>
        <v>61</v>
      </c>
      <c r="AI14" s="1198">
        <f t="shared" si="2"/>
        <v>0</v>
      </c>
      <c r="AJ14" s="1198">
        <f t="shared" si="2"/>
        <v>0</v>
      </c>
      <c r="AK14" s="1198">
        <f t="shared" si="2"/>
        <v>0</v>
      </c>
      <c r="AL14" s="1198">
        <f t="shared" si="2"/>
        <v>0</v>
      </c>
      <c r="AM14" s="1198">
        <f t="shared" si="2"/>
        <v>1923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212</v>
      </c>
      <c r="BD14" s="1198">
        <f t="shared" si="2"/>
        <v>240</v>
      </c>
      <c r="BE14" s="1198">
        <f t="shared" si="2"/>
        <v>0</v>
      </c>
      <c r="BF14" s="1198">
        <f t="shared" si="2"/>
        <v>0</v>
      </c>
      <c r="BG14" s="1198">
        <f>IF(ISNUMBER(Datos!K14/Datos!J14),Datos!K14/Datos!J14," - ")</f>
        <v>0.85435992578849718</v>
      </c>
      <c r="BH14" s="1202">
        <f>IF(ISNUMBER(((Datos!L14/Datos!K14)*11)/factor_trimestre),((Datos!L14/Datos!K14)*11)/factor_trimestre," - ")</f>
        <v>19.909880564603689</v>
      </c>
      <c r="BI14" s="1198">
        <f>IF(ISNUMBER('Resol  Asuntos'!D14/NºAsuntos!G14),'Resol  Asuntos'!D14/NºAsuntos!G14," - ")</f>
        <v>0.2145748987854251</v>
      </c>
      <c r="BJ14" s="1198" t="str">
        <f>IF(ISNUMBER(Datos!CI14/Datos!CJ14),Datos!CI14/Datos!CJ14," - ")</f>
        <v xml:space="preserve"> - </v>
      </c>
      <c r="BK14" s="1198">
        <f>SUBTOTAL(9,BK8:BK13)</f>
        <v>0</v>
      </c>
      <c r="BL14" s="1198">
        <f>IF(ISNUMBER((I14-AB14+L14)/(F14)),(I14-AB14+L14)/(F14)," - ")</f>
        <v>-0.8666666666666667</v>
      </c>
      <c r="BM14" s="1203">
        <f>SUBTOTAL(9,BM9:BM13)</f>
        <v>-0.43813346713497242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744</v>
      </c>
      <c r="G17" s="743">
        <f>IF(ISNUMBER(IF(D_I="SI",Datos!I17,Datos!I17+Datos!AC17)),IF(D_I="SI",Datos!I17,Datos!I17+Datos!AC17)," - ")</f>
        <v>842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995</v>
      </c>
      <c r="AC17" s="240">
        <f>IF(ISNUMBER(Datos!Q17),Datos!Q17," - ")</f>
        <v>100</v>
      </c>
      <c r="AD17" s="374"/>
      <c r="AE17" s="562"/>
      <c r="AF17" s="741">
        <f>IF(ISNUMBER(IF(D_I="SI",Datos!L17,Datos!L17+Datos!AF17)),IF(D_I="SI",Datos!L17,Datos!L17+Datos!AF17)," - ")</f>
        <v>930</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129</v>
      </c>
      <c r="BD17" s="243">
        <f>IF(ISNUMBER(Datos!N17),Datos!N17," - ")</f>
        <v>527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0.84250635055038103</v>
      </c>
      <c r="BH17" s="764">
        <f>IF(ISNUMBER(((IF(D_I="SI",Datos!L17/Datos!K17,(Datos!L17+Datos!AF17)/(Datos!K17+Datos!AE17)))*11)/factor_trimestre),((IF(D_I="SI",Datos!L17/Datos!K17,(Datos!L17+Datos!AF17)/(Datos!K17+Datos!AE17)))*11)/factor_trimestre," - ")</f>
        <v>10.28140703517588</v>
      </c>
      <c r="BI17" s="266">
        <f>IF(ISNUMBER('Resol  Asuntos'!D17/NºAsuntos!G17),'Resol  Asuntos'!D17/NºAsuntos!G17," - ")</f>
        <v>0.12964824120603016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0</v>
      </c>
      <c r="AD18" s="549"/>
      <c r="AE18" s="562"/>
      <c r="AF18" s="551">
        <f>IF(ISNUMBER(Datos!L18),Datos!L18,"-")</f>
        <v>45</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4.5</v>
      </c>
      <c r="BI18" s="763">
        <f>IF(ISNUMBER('Resol  Asuntos'!D18/NºAsuntos!G18),'Resol  Asuntos'!D18/NºAsuntos!G18," - ")</f>
        <v>0.12727272727272726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744</v>
      </c>
      <c r="G23" s="1197">
        <f>SUBTOTAL(9,G16:G22)</f>
        <v>887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1105</v>
      </c>
      <c r="AC23" s="1198">
        <f t="shared" si="5"/>
        <v>100</v>
      </c>
      <c r="AD23" s="1198">
        <f t="shared" si="5"/>
        <v>0</v>
      </c>
      <c r="AE23" s="1198">
        <f t="shared" si="5"/>
        <v>0</v>
      </c>
      <c r="AF23" s="1198">
        <f t="shared" si="5"/>
        <v>975</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v>
      </c>
      <c r="BD23" s="1198">
        <f t="shared" si="5"/>
        <v>575</v>
      </c>
      <c r="BE23" s="1198">
        <f t="shared" si="5"/>
        <v>0</v>
      </c>
      <c r="BF23" s="1198">
        <f t="shared" si="5"/>
        <v>0</v>
      </c>
      <c r="BG23" s="1198">
        <f>IF(ISNUMBER(Datos!K23/Datos!J23),Datos!K23/Datos!J23," - ")</f>
        <v>0.85592563903950425</v>
      </c>
      <c r="BH23" s="1202">
        <f>IF(ISNUMBER(((Datos!L23/Datos!K23)*11)/factor_trimestre),((Datos!L23/Datos!K23)*11)/factor_trimestre," - ")</f>
        <v>9.7058823529411757</v>
      </c>
      <c r="BI23" s="1198">
        <f>SUBTOTAL(9,BI16:BI22)</f>
        <v>0.25692096847875745</v>
      </c>
      <c r="BJ23" s="1198">
        <f>SUBTOTAL(9,BJ16:BJ22)</f>
        <v>0</v>
      </c>
      <c r="BK23" s="1198">
        <f>SUBTOTAL(9,BK16:BK22)</f>
        <v>0</v>
      </c>
      <c r="BL23" s="1198">
        <f>IF(ISNUMBER((I23-AB23+L23)/(F23)),(I23-AB23+L23)/(F23)," - ")</f>
        <v>-1.4852150537634408</v>
      </c>
      <c r="BM23" s="1205">
        <f>IF(ISNUMBER((Datos!P23-Datos!Q23)/(Datos!R23-Datos!P23+Datos!Q23)),(Datos!P23-Datos!Q23)/(Datos!R23-Datos!P23+Datos!Q23)," - ")</f>
        <v>-0.47953216374269003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759</v>
      </c>
      <c r="G31" s="1117">
        <f t="shared" si="18"/>
        <v>902</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241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1118</v>
      </c>
      <c r="AC31" s="1118">
        <f t="shared" si="19"/>
        <v>403</v>
      </c>
      <c r="AD31" s="1118">
        <f t="shared" si="19"/>
        <v>0</v>
      </c>
      <c r="AE31" s="1118">
        <f t="shared" si="19"/>
        <v>0</v>
      </c>
      <c r="AF31" s="1125">
        <f t="shared" si="19"/>
        <v>989</v>
      </c>
      <c r="AG31" s="1125">
        <f t="shared" si="19"/>
        <v>0</v>
      </c>
      <c r="AH31" s="1125">
        <f t="shared" si="19"/>
        <v>61</v>
      </c>
      <c r="AI31" s="1125">
        <f t="shared" si="19"/>
        <v>0</v>
      </c>
      <c r="AJ31" s="1118">
        <f t="shared" si="19"/>
        <v>0</v>
      </c>
      <c r="AK31" s="1125">
        <f t="shared" si="19"/>
        <v>0</v>
      </c>
      <c r="AL31" s="1125">
        <f t="shared" si="19"/>
        <v>0</v>
      </c>
      <c r="AM31" s="1125">
        <f t="shared" si="19"/>
        <v>2012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355</v>
      </c>
      <c r="BD31" s="1117">
        <f t="shared" si="19"/>
        <v>815</v>
      </c>
      <c r="BE31" s="1117">
        <f t="shared" si="19"/>
        <v>0</v>
      </c>
      <c r="BF31" s="1127">
        <f t="shared" si="19"/>
        <v>0</v>
      </c>
      <c r="BG31" s="1223">
        <f>IF(ISNUMBER(Datos!K31/Datos!J31),Datos!K31/Datos!J31," - ")</f>
        <v>0.85521317011397213</v>
      </c>
      <c r="BH31" s="1223">
        <f>IF(ISNUMBER(((Datos!L31/Datos!K31)*11)/factor_trimestre),((Datos!L31/Datos!K31)*11)/factor_trimestre," - ")</f>
        <v>14.344521224086872</v>
      </c>
      <c r="BI31" s="1103">
        <f>IF(ISNUMBER(Datos!J31/Datos!I31),Datos!J31/Datos!I31," - ")</f>
        <v>0.97409539473684215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-1.4729907773386035</v>
      </c>
      <c r="BM31" s="1188">
        <f>IF(ISNUMBER((Datos!P31-Datos!Q31+R31)/(Datos!R31-Datos!P31+Datos!Q31-R31)),(Datos!P31-Datos!Q31+R31)/(Datos!R31-Datos!P31+Datos!Q31-R31)," - ")</f>
        <v>-7.4517019319227232E-2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380.38611962057712</v>
      </c>
      <c r="G33" s="674">
        <f>IF(ISNUMBER(STDEV(G8:G30)),STDEV(G8:G30),"-")</f>
        <v>414.98823850229553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501.53858513672941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93.271876024570545</v>
      </c>
      <c r="BD33" s="673"/>
      <c r="BE33" s="673">
        <f>IF(ISNUMBER(STDEV(BE8:BE30)),STDEV(BE8:BE30),"-")</f>
        <v>0</v>
      </c>
      <c r="BF33" s="678">
        <f>IF(ISNUMBER(STDEV(BF8:BF30)),STDEV(BF8:BF30),"-")</f>
        <v>0</v>
      </c>
      <c r="BG33" s="1052">
        <f>IF(ISNUMBER(STDEV(BG8:BG30)),STDEV(BG8:BG30),"-")</f>
        <v>0.10060819938632955</v>
      </c>
      <c r="BH33" s="1058">
        <f>IF(ISNUMBER(STDEV(BH8:BH30)),STDEV(BH8:BH30),"-")</f>
        <v>5.979254283902498</v>
      </c>
      <c r="BI33" s="273">
        <f>IF(ISNUMBER(STDEV(BI8:BI30)),STDEV(BI8:BI30),"-")</f>
        <v>6.4316957690419965E-2</v>
      </c>
      <c r="BJ33" s="244" t="str">
        <f>IF(ISNUMBER(BL33/BM33),BL33/BM33," - ")</f>
        <v xml:space="preserve"> - </v>
      </c>
      <c r="BK33" s="709"/>
      <c r="BL33" s="681">
        <f>IF(ISNUMBER(STDEV(BL8:BL30)),STDEV(BL8:BL30),"-")</f>
        <v>0.43737975900813109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J/k1siPibIwqtP3NuiCLAYuoQ1ie51Rxdt85cgVmQqJa3C+nlaBupvMpzwefXXTGs1/qZWNTukfsX2NjFPBnw==" saltValue="Ea6RJeMeATPyOnyHxNUm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MOTILLA DEL PALANCAR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4</v>
      </c>
      <c r="AA10" s="551">
        <f>IF(ISNUMBER(Datos!L10),Datos!L10,"-")</f>
        <v>14</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8</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11.846153846153845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299</v>
      </c>
      <c r="AA12" s="551" t="str">
        <f>IF(ISNUMBER(IF(J_V="SI",Datos!L12,Datos!L12+Datos!AB12)-IF(Monitorios="SI",Datos!CD12,0)),
                          IF(J_V="SI",Datos!L12,Datos!L12+Datos!AB12)-IF(Monitorios="SI",Datos!CD12,0),
                          " - ")</f>
        <v xml:space="preserve"> - </v>
      </c>
      <c r="AB12" s="549"/>
      <c r="AC12" s="549"/>
      <c r="AD12" s="563"/>
      <c r="AE12" s="563">
        <f>IF(ISNUMBER(Datos!R12),Datos!R12," - ")</f>
        <v>1917</v>
      </c>
      <c r="AF12" s="693" t="str">
        <f>IF(ISNUMBER(Datos!BV12),Datos!BV12," - ")</f>
        <v xml:space="preserve"> - </v>
      </c>
      <c r="AG12" s="552" t="str">
        <f>IF(ISNUMBER(Datos!DV12),Datos!DV12," - ")</f>
        <v xml:space="preserve"> - </v>
      </c>
      <c r="AH12" s="553"/>
      <c r="AI12" s="554"/>
      <c r="AJ12" s="552">
        <f>IF(ISNUMBER(Datos!M12),Datos!M12," - ")</f>
        <v>204</v>
      </c>
      <c r="AK12" s="693">
        <f>IF(ISNUMBER(Datos!N12),Datos!N12," - ")</f>
        <v>239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19.337435897435896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-3.8133467134972406E-2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223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303</v>
      </c>
      <c r="AA14" s="1199">
        <f t="shared" si="3"/>
        <v>14</v>
      </c>
      <c r="AB14" s="1199">
        <f t="shared" si="3"/>
        <v>0</v>
      </c>
      <c r="AC14" s="1199">
        <f t="shared" si="3"/>
        <v>0</v>
      </c>
      <c r="AD14" s="1199">
        <f t="shared" si="3"/>
        <v>0</v>
      </c>
      <c r="AE14" s="1199">
        <f t="shared" si="3"/>
        <v>1923</v>
      </c>
      <c r="AF14" s="1211">
        <f t="shared" si="3"/>
        <v>0</v>
      </c>
      <c r="AG14" s="1211">
        <f t="shared" si="3"/>
        <v>0</v>
      </c>
      <c r="AH14" s="1211">
        <f t="shared" si="3"/>
        <v>0</v>
      </c>
      <c r="AI14" s="1211">
        <f t="shared" si="3"/>
        <v>0</v>
      </c>
      <c r="AJ14" s="1211">
        <f t="shared" si="3"/>
        <v>212</v>
      </c>
      <c r="AK14" s="1211">
        <f t="shared" si="3"/>
        <v>240</v>
      </c>
      <c r="AL14" s="1211">
        <f t="shared" si="3"/>
        <v>0</v>
      </c>
      <c r="AM14" s="1211">
        <f t="shared" si="3"/>
        <v>0</v>
      </c>
      <c r="AN14" s="1211">
        <f t="shared" si="3"/>
        <v>0</v>
      </c>
      <c r="AO14" s="1203">
        <f>IF(ISNUMBER(((NºAsuntos!I14/NºAsuntos!G14)*11)/factor_trimestre),((NºAsuntos!I14/NºAsuntos!G14)*11)/factor_trimestre," - ")</f>
        <v>19.238866396761136</v>
      </c>
      <c r="AP14" s="1213" t="str">
        <f>IF(ISNUMBER(Datos!CI14/Datos!CJ14),Datos!CI14/Datos!CJ14," - ")</f>
        <v xml:space="preserve"> - </v>
      </c>
      <c r="AQ14" s="1236">
        <f t="shared" ref="AQ14:AV14" si="4">SUBTOTAL(9,AQ9:AQ13)</f>
        <v>0</v>
      </c>
      <c r="AR14" s="1236">
        <f t="shared" si="4"/>
        <v>-0.43813346713497242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744</v>
      </c>
      <c r="G17" s="552">
        <f>IF(ISNUMBER(IF(D_I="SI",Datos!I17,Datos!I17+Datos!AC17)),IF(D_I="SI",Datos!I17,Datos!I17+Datos!AC17)," - ")</f>
        <v>842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995</v>
      </c>
      <c r="Z17" s="805">
        <f>IF(ISNUMBER(Datos!Q17),Datos!Q17," - ")</f>
        <v>100</v>
      </c>
      <c r="AA17" s="551">
        <f>IF(ISNUMBER(IF(D_I="SI",Datos!L17,Datos!L17+Datos!AF17)),IF(D_I="SI",Datos!L17,Datos!L17+Datos!AF17)," - ")</f>
        <v>930</v>
      </c>
      <c r="AB17" s="549"/>
      <c r="AC17" s="549"/>
      <c r="AD17" s="563"/>
      <c r="AE17" s="563">
        <f>IF(ISNUMBER(Datos!R17),Datos!R17," - ")</f>
        <v>79</v>
      </c>
      <c r="AF17" s="693" t="str">
        <f>IF(ISNUMBER(Datos!BV17),Datos!BV17," - ")</f>
        <v xml:space="preserve"> - </v>
      </c>
      <c r="AG17" s="552"/>
      <c r="AH17" s="553"/>
      <c r="AI17" s="554"/>
      <c r="AJ17" s="552">
        <f>IF(ISNUMBER(Datos!M17),Datos!M17," - ")</f>
        <v>129</v>
      </c>
      <c r="AK17" s="693">
        <f>IF(ISNUMBER(Datos!N17),Datos!N17," - ")</f>
        <v>527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10.28140703517588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0</v>
      </c>
      <c r="AA18" s="551">
        <f>IF(ISNUMBER(Datos!L18),Datos!L18,"-")</f>
        <v>45</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14</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744</v>
      </c>
      <c r="G23" s="1197">
        <f>SUBTOTAL(9,G16:G22)</f>
        <v>887</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1105</v>
      </c>
      <c r="Z23" s="1240">
        <f t="shared" si="6"/>
        <v>100</v>
      </c>
      <c r="AA23" s="1240">
        <f t="shared" si="6"/>
        <v>975</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143</v>
      </c>
      <c r="AK23" s="1240">
        <f t="shared" si="6"/>
        <v>575</v>
      </c>
      <c r="AL23" s="1240">
        <f t="shared" si="6"/>
        <v>0</v>
      </c>
      <c r="AM23" s="1240">
        <f t="shared" si="6"/>
        <v>0</v>
      </c>
      <c r="AN23" s="1240">
        <f t="shared" si="6"/>
        <v>0</v>
      </c>
      <c r="AO23" s="1242">
        <f>IF(ISNUMBER(((NºAsuntos!I23/NºAsuntos!G23)*11)/factor_trimestre),((NºAsuntos!I23/NºAsuntos!G23)*11)/factor_trimestre," - ")</f>
        <v>9.7058823529411757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759</v>
      </c>
      <c r="G31" s="1117">
        <f t="shared" si="12"/>
        <v>902</v>
      </c>
      <c r="H31" s="1118">
        <f t="shared" si="12"/>
        <v>0</v>
      </c>
      <c r="I31" s="1117">
        <f t="shared" si="12"/>
        <v>0</v>
      </c>
      <c r="J31" s="1119">
        <f t="shared" si="12"/>
        <v>0</v>
      </c>
      <c r="K31" s="1117">
        <f t="shared" si="12"/>
        <v>0</v>
      </c>
      <c r="L31" s="1120">
        <f t="shared" si="12"/>
        <v>0</v>
      </c>
      <c r="M31" s="1117">
        <f t="shared" si="12"/>
        <v>0</v>
      </c>
      <c r="N31" s="1118">
        <f t="shared" si="12"/>
        <v>241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1118</v>
      </c>
      <c r="Z31" s="1124">
        <f t="shared" si="13"/>
        <v>403</v>
      </c>
      <c r="AA31" s="1125">
        <f t="shared" si="13"/>
        <v>989</v>
      </c>
      <c r="AB31" s="1125">
        <f t="shared" si="13"/>
        <v>0</v>
      </c>
      <c r="AC31" s="1125">
        <f t="shared" si="13"/>
        <v>0</v>
      </c>
      <c r="AD31" s="1126">
        <f t="shared" si="13"/>
        <v>0</v>
      </c>
      <c r="AE31" s="1126">
        <f t="shared" si="13"/>
        <v>2012</v>
      </c>
      <c r="AF31" s="1127">
        <f t="shared" si="13"/>
        <v>0</v>
      </c>
      <c r="AG31" s="1128">
        <f t="shared" si="13"/>
        <v>0</v>
      </c>
      <c r="AH31" s="1129">
        <f t="shared" si="13"/>
        <v>0</v>
      </c>
      <c r="AI31" s="1127">
        <f t="shared" si="13"/>
        <v>0</v>
      </c>
      <c r="AJ31" s="1117">
        <f t="shared" si="13"/>
        <v>355</v>
      </c>
      <c r="AK31" s="1117">
        <f t="shared" si="13"/>
        <v>815</v>
      </c>
      <c r="AL31" s="1117">
        <f t="shared" si="13"/>
        <v>0</v>
      </c>
      <c r="AM31" s="1130">
        <f t="shared" si="13"/>
        <v>0</v>
      </c>
      <c r="AN31" s="1120">
        <f>IF(ISNUMBER(Datos!K31/Datos!J31),Datos!K31/Datos!J31," - ")</f>
        <v>0.85521317011397213</v>
      </c>
      <c r="AO31" s="1120">
        <f>IF(ISNUMBER(FIND("06",Criterios!A8,1)),(IF(ISNUMBER(((Datos!R31/Datos!Q31)*11)/factor_trimestre),((Datos!R31/Datos!Q31)*11)/factor_trimestre," - ")),(IF(ISNUMBER(((Datos!L31/Datos!K31)*11)/factor_trimestre),((Datos!L31/Datos!K31)*11)/factor_trimestre," - ")))</f>
        <v>14.344521224086872</v>
      </c>
      <c r="AP31" s="1131" t="str">
        <f>IF(ISNUMBER(Datos!CI31/Datos!CJ31),Datos!CI31/Datos!CJ31," - ")</f>
        <v xml:space="preserve"> - </v>
      </c>
      <c r="AQ31" s="1131">
        <f>IF(OR(ISNUMBER(FIND("01",Criterios!A8,1)),ISNUMBER(FIND("02",Criterios!A8,1)),ISNUMBER(FIND("03",Criterios!A8,1)),ISNUMBER(FIND("04",Criterios!A8,1))),(J31-Y31+K31)/(F31-K31),(I31-Y31+K31)/(F31-K31))</f>
        <v>-1.4729907773386035</v>
      </c>
      <c r="AR31" s="1131">
        <f>IF(ISNUMBER((Datos!P31-Datos!Q31+O31)/(Datos!R31-Datos!P31+Datos!Q31-O31)),(Datos!P31-Datos!Q31+O31)/(Datos!R31-Datos!P31+Datos!Q31-O31)," - ")</f>
        <v>-7.4517019319227232E-2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380.38611962057712</v>
      </c>
      <c r="G33" s="674">
        <f>IF(ISNUMBER(STDEV(G8:G30)),STDEV(G8:G30),"-")</f>
        <v>414.98823850229553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93.271876024570545</v>
      </c>
      <c r="AK33" s="276"/>
      <c r="AL33" s="276">
        <f>IF(ISNUMBER(STDEV(AL8:AL30)),STDEV(AL8:AL30),"-")</f>
        <v>0</v>
      </c>
      <c r="AM33" s="278">
        <f>IF(ISNUMBER(STDEV(AM8:AM30)),STDEV(AM8:AM30),"-")</f>
        <v>0</v>
      </c>
      <c r="AN33" s="660">
        <f>IF(ISNUMBER(STDEV(AN8:AN30)),STDEV(AN8:AN30),"-")</f>
        <v>0</v>
      </c>
      <c r="AO33" s="661">
        <f>IF(ISNUMBER(STDEV(AO8:AO30)),STDEV(AO8:AO30),"-")</f>
        <v>5.8192483240032793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EHTAdPAEu/9g1N5YUkTprRpw0o8A2L2evddwG+5f0x3iu8N4I8AK/zlDpX3v0zVfHMuv2FDfnBDsEJ+BvtLQw==" saltValue="Xm5cYo4mDIWUjI7mVnFY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B9zICBF8a0PXnGJJAVJY3L+Px7sm0eYyfato7AzQSARuriSPyZ8NjGksoyGkwRdYvmr7ufDWSysk1ClwXAh/Q==" saltValue="hfFyqeAmL/JItwf7Ee6r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BMq0iSAjC10XUxxClLL38iDYcvT0h3wZBKZRRNoOpPQgpdrZt5gDMpUNr3nZXfiwL8veJv/aP3AJvo7gjvWw==" saltValue="iSkmAgivx1Kns09mLpMR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MOTILLA DEL PALANCAR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0.2145748987854251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0.15172736600359116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BS2O9hpIgkp7iecQIep5hY9LB3nD+5jfLecG4BIbJrPab6K+24le2ZVyqDQ0UmeqRx1gmJ3uIsgTxL5Dd+cmg==" saltValue="1zMIbq2wgSDZPKLVBsX8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Z/NzvqtKMyRE+8BkB8Rc4KPdQPcqV+KyqSJAi4HRFQbUZKsl/MUNR+GQrTd0/A0zVy3UU+f6Su0xRuMpStCFg==" saltValue="kEPPL5hVHc8nEPIFJ9Uo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MOTILLA DEL PALANCAR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12</v>
      </c>
      <c r="F10" s="452">
        <f>IF(ISNUMBER(E10/B10),E10/B10," - ")</f>
        <v>12</v>
      </c>
      <c r="G10" s="451">
        <f>IF(ISNUMBER(Datos!K10),Datos!K10," - ")</f>
        <v>13</v>
      </c>
      <c r="H10" s="452">
        <f>IF(ISNUMBER(G10/B10),G10/B10," - ")</f>
        <v>13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1565</v>
      </c>
      <c r="D12" s="452">
        <f>IF(ISNUMBER(C12/Datos!BH12),C12/Datos!BH12," - ")</f>
        <v>782.5</v>
      </c>
      <c r="E12" s="451">
        <f>IF(ISNUMBER(IF(J_V="SI",Datos!J12,Datos!J12+Datos!Z12)),IF(J_V="SI",Datos!J12,Datos!J12+Datos!Z12)," - ")</f>
        <v>1129</v>
      </c>
      <c r="F12" s="452">
        <f>IF(ISNUMBER(E12/B12),E12/B12," - ")</f>
        <v>564.5</v>
      </c>
      <c r="G12" s="451">
        <f>IF(ISNUMBER(IF(J_V="SI",Datos!K12,Datos!K12+Datos!AA12)),IF(J_V="SI",Datos!K12,Datos!K12+Datos!AA12)," - ")</f>
        <v>975</v>
      </c>
      <c r="H12" s="452">
        <f>IF(ISNUMBER(G12/B12),G12/B12," - ")</f>
        <v>487.5</v>
      </c>
      <c r="I12" s="451">
        <f>IF(ISNUMBER(IF(J_V="SI",Datos!L12,Datos!L12+Datos!AB12)),IF(J_V="SI",Datos!L12,Datos!L12+Datos!AB12)," - ")</f>
        <v>1714</v>
      </c>
      <c r="J12" s="452">
        <f>IF(ISNUMBER(I12/B12),I12/B12," - ")</f>
        <v>857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1580</v>
      </c>
      <c r="D14" s="1147" t="str">
        <f>IF(ISNUMBER(C14/Datos!BI14),C14/Datos!BI14," - ")</f>
        <v xml:space="preserve"> - </v>
      </c>
      <c r="E14" s="1146">
        <f>SUBTOTAL(9,E8:E13)</f>
        <v>1141</v>
      </c>
      <c r="F14" s="1147">
        <f>IF(ISNUMBER(E14/B14),E14/B14," - ")</f>
        <v>570.5</v>
      </c>
      <c r="G14" s="1146">
        <f>SUBTOTAL(9,G8:G13)</f>
        <v>988</v>
      </c>
      <c r="H14" s="1147">
        <f>IF(ISNUMBER(G14/B14),G14/B14," - ")</f>
        <v>494</v>
      </c>
      <c r="I14" s="1146">
        <f>SUBTOTAL(9,I8:I13)</f>
        <v>1728</v>
      </c>
      <c r="J14" s="1147">
        <f>IF(ISNUMBER(I14/B14),I14/B14," - ")</f>
        <v>864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842</v>
      </c>
      <c r="D17" s="452">
        <f>IF(ISNUMBER(C17/Datos!BH17),C17/Datos!BH17," - ")</f>
        <v>421</v>
      </c>
      <c r="E17" s="451">
        <f>IF(ISNUMBER(IF(D_I="SI",Datos!J17,Datos!J17+Datos!AD17)),IF(D_I="SI",Datos!J17,Datos!J17+Datos!AD17)," - ")</f>
        <v>1181</v>
      </c>
      <c r="F17" s="452">
        <f>IF(ISNUMBER(E17/B17),E17/B17," - ")</f>
        <v>590.5</v>
      </c>
      <c r="G17" s="451">
        <f>IF(ISNUMBER(IF(D_I="SI",Datos!K17,Datos!K17+Datos!AE17)),IF(D_I="SI",Datos!K17,Datos!K17+Datos!AE17)," - ")</f>
        <v>995</v>
      </c>
      <c r="H17" s="452">
        <f>IF(ISNUMBER(G17/B17),G17/B17," - ")</f>
        <v>497.5</v>
      </c>
      <c r="I17" s="451">
        <f>IF(ISNUMBER(IF(D_I="SI",Datos!L17,Datos!L17+Datos!AF17)),IF(D_I="SI",Datos!L17,Datos!L17+Datos!AF17)," - ")</f>
        <v>930</v>
      </c>
      <c r="J17" s="452">
        <f>IF(ISNUMBER(I17/B17),I17/B17," - ")</f>
        <v>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110</v>
      </c>
      <c r="F18" s="452">
        <f>IF(ISNUMBER(E18/B18),E18/B18," - ")</f>
        <v>110</v>
      </c>
      <c r="G18" s="451">
        <f>IF(ISNUMBER(IF(D_I="SI",Datos!K18,Datos!K18+Datos!AE18)),IF(D_I="SI",Datos!K18,Datos!K18+Datos!AE18)," - ")</f>
        <v>110</v>
      </c>
      <c r="H18" s="452">
        <f>IF(ISNUMBER(G18/B18),G18/B18," - ")</f>
        <v>110</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887</v>
      </c>
      <c r="D23" s="1147" t="str">
        <f>IF(ISNUMBER(C23/Datos!BI23),C23/Datos!BI23," - ")</f>
        <v xml:space="preserve"> - </v>
      </c>
      <c r="E23" s="1146">
        <f>SUBTOTAL(9,E15:E22)</f>
        <v>1291</v>
      </c>
      <c r="F23" s="1147">
        <f>IF(ISNUMBER(E23/B23),E23/B23," - ")</f>
        <v>645.5</v>
      </c>
      <c r="G23" s="1146">
        <f>SUBTOTAL(9,G15:G22)</f>
        <v>1105</v>
      </c>
      <c r="H23" s="1147">
        <f>IF(ISNUMBER(G23/B23),G23/B23," - ")</f>
        <v>552.5</v>
      </c>
      <c r="I23" s="1146">
        <f>SUBTOTAL(9,I15:I22)</f>
        <v>975</v>
      </c>
      <c r="J23" s="1147">
        <f>IF(ISNUMBER(I23/B23),I23/B23," - ")</f>
        <v>487.5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2467</v>
      </c>
      <c r="D31" s="1085" t="str">
        <f>IF(ISNUMBER(C31/Datos!BI31),C31/Datos!BI31," - ")</f>
        <v xml:space="preserve"> - </v>
      </c>
      <c r="E31" s="1084">
        <f>SUBTOTAL(9,E9:E30)</f>
        <v>2432</v>
      </c>
      <c r="F31" s="1085">
        <f>IF(ISNUMBER(E31/B31),E31/B31," - ")</f>
        <v>1216</v>
      </c>
      <c r="G31" s="1084">
        <f>SUBTOTAL(9,G9:G30)</f>
        <v>2093</v>
      </c>
      <c r="H31" s="1085">
        <f>IF(ISNUMBER(G31/B31),G31/B31," - ")</f>
        <v>1046.5</v>
      </c>
      <c r="I31" s="1084">
        <f>SUBTOTAL(9,I9:I30)</f>
        <v>2703</v>
      </c>
      <c r="J31" s="1085">
        <f>IF(ISNUMBER(I31/B31),I31/B31," - ")</f>
        <v>1351.5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fcqRfvpSEqVyZXcDIXIKCpQVd/Z1vPLko8NaxeciOVDWzEZA5ICgR5ELyu4tK+kvNxRsKJ5KsYIAUuix7lSQg==" saltValue="tUIKonHDsZnM/9vh3Jc3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MOTILLA DEL PALANCAR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11.846153846153845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204</v>
      </c>
      <c r="AM12" s="914">
        <f>IF(ISNUMBER(Datos!N12+DatosP!N17),Datos!N12+DatosP!N17," - ")</f>
        <v>239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19.337435897435896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-3.8133467134972406E-2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223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299</v>
      </c>
      <c r="AE14" s="1257">
        <f t="shared" si="1"/>
        <v>0</v>
      </c>
      <c r="AF14" s="1257">
        <f t="shared" si="1"/>
        <v>14</v>
      </c>
      <c r="AG14" s="1257">
        <f t="shared" si="1"/>
        <v>0</v>
      </c>
      <c r="AH14" s="1257">
        <f t="shared" si="1"/>
        <v>1917</v>
      </c>
      <c r="AI14" s="1257">
        <f t="shared" si="1"/>
        <v>0</v>
      </c>
      <c r="AJ14" s="1257">
        <f t="shared" si="1"/>
        <v>0</v>
      </c>
      <c r="AK14" s="1257">
        <f t="shared" si="1"/>
        <v>0</v>
      </c>
      <c r="AL14" s="1257">
        <f t="shared" si="1"/>
        <v>212</v>
      </c>
      <c r="AM14" s="1257">
        <f t="shared" si="1"/>
        <v>240</v>
      </c>
      <c r="AN14" s="1257">
        <f t="shared" si="1"/>
        <v>0</v>
      </c>
      <c r="AO14" s="1257">
        <f t="shared" si="1"/>
        <v>0</v>
      </c>
      <c r="AP14" s="1262">
        <f>IF(ISNUMBER(((Datos!L14/Datos!K14)*11)/factor_trimestre),((Datos!L14/Datos!K14)*11)/factor_trimestre," - ")</f>
        <v>19.909880564603689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-0.8666666666666667</v>
      </c>
      <c r="AU14" s="1257" t="str">
        <f>IF(ISNUMBER((DatosP!#REF!-DatosP!#REF!+DatosP!#REF!)/(DatosP!#REF!+DatosP!#REF!-DatosP!#REF!-DatosP!#REF!)),(DatosP!#REF!-DatosP!#REF!+DatosP!#REF!)/(DatosP!#REF!+DatosP!#REF!-DatosP!#REF!-DatosP!#REF!)," - ")</f>
        <v xml:space="preserve"> - </v>
      </c>
      <c r="AV14" s="1263">
        <f>SUBTOTAL(9,AV9:AV13)</f>
        <v>-3.8133467134972406E-2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9.7058823529411757</v>
      </c>
      <c r="AQ23" s="1262">
        <f>IF(ISNUMBER(((Datos!M23/Datos!L23)*11)/factor_trimestre),((Datos!M23/Datos!L23)*11)/factor_trimestre," - ")</f>
        <v>1.6133333333333333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-0.47953216374269003</v>
      </c>
      <c r="AW23" s="1265">
        <f>IF(ISNUMBER((Datos!Q23-Datos!R23)/(Datos!S23-Datos!Q23+Datos!R23)),(Datos!Q23-Datos!R23)/(Datos!S23-Datos!Q23+Datos!R23)," - ")</f>
        <v>1.4138817480719794E-2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223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299</v>
      </c>
      <c r="AE31" s="1284">
        <f t="shared" si="9"/>
        <v>0</v>
      </c>
      <c r="AF31" s="1285">
        <f t="shared" si="9"/>
        <v>14</v>
      </c>
      <c r="AG31" s="1285">
        <f t="shared" si="9"/>
        <v>0</v>
      </c>
      <c r="AH31" s="1285">
        <f t="shared" si="9"/>
        <v>1917</v>
      </c>
      <c r="AI31" s="1285">
        <f t="shared" si="9"/>
        <v>0</v>
      </c>
      <c r="AJ31" s="1286">
        <f t="shared" si="9"/>
        <v>0</v>
      </c>
      <c r="AK31" s="1286">
        <f t="shared" si="9"/>
        <v>0</v>
      </c>
      <c r="AL31" s="1278">
        <f t="shared" si="9"/>
        <v>212</v>
      </c>
      <c r="AM31" s="1278">
        <f t="shared" si="9"/>
        <v>240</v>
      </c>
      <c r="AN31" s="1278">
        <f t="shared" si="9"/>
        <v>0</v>
      </c>
      <c r="AO31" s="1278">
        <f t="shared" si="9"/>
        <v>0</v>
      </c>
      <c r="AP31" s="1278">
        <f>IF(ISNUMBER(((Datos!L31/Datos!K31)*11)/factor_trimestre),((Datos!L31/Datos!K31)*11)/factor_trimestre," - ")</f>
        <v>14.344521224086872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-7.4517019319227232E-2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106.45311957226367</v>
      </c>
      <c r="AM33" s="1006"/>
      <c r="AN33" s="1006">
        <f>IF(ISNUMBER(STDEV(AN8:AN30)),STDEV(AN8:AN30),"-")</f>
        <v>0</v>
      </c>
      <c r="AO33" s="1012">
        <f>IF(ISNUMBER(STDEV(AO8:AO30)),STDEV(AO8:AO30),"-")</f>
        <v>0</v>
      </c>
      <c r="AP33" s="1065">
        <f>IF(ISNUMBER(STDEV(AP8:AP30)),STDEV(AP8:AP30),"-")</f>
        <v>5.1876444036721407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TY1Ls653SexgmZUMKXAOearuEWWLH4TYl6PPtYdttZs4dWXm7xMQET//++Fd9rgdtUN+3DnXtpTwOXKAOMqPpg==" saltValue="Le6Xsc/M0OxuR+9qiQQ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MOTILLA DEL PALANCAR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l6loUetIcXTxXu/HjFB3q3JhMBxBJfS8Y6T3yJ6N5CJH6slRlDX98cd0hQ96rOvO22A5JOw4R+R21DIRG3uFQ==" saltValue="SSzxrBspVX1grF265IwD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MOTILLA DEL PALANCAR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204</v>
      </c>
      <c r="E12" s="452">
        <f t="shared" si="0"/>
        <v>102</v>
      </c>
      <c r="F12" s="451">
        <f>IF(ISNUMBER(Datos!N12),Datos!N12," - ")</f>
        <v>239</v>
      </c>
      <c r="G12" s="452">
        <f t="shared" si="1"/>
        <v>119.5</v>
      </c>
      <c r="H12" s="451">
        <f>IF(ISNUMBER(Datos!O12),Datos!O12," - ")</f>
        <v>444</v>
      </c>
      <c r="I12" s="452">
        <f t="shared" si="2"/>
        <v>222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212</v>
      </c>
      <c r="E14" s="1147">
        <f t="shared" si="0"/>
        <v>70.666666666666671</v>
      </c>
      <c r="F14" s="1146">
        <f>SUBTOTAL(9,F9:F13)</f>
        <v>240</v>
      </c>
      <c r="G14" s="1147">
        <f t="shared" si="1"/>
        <v>80</v>
      </c>
      <c r="H14" s="1146">
        <f>SUBTOTAL(9,H9:H13)</f>
        <v>445</v>
      </c>
      <c r="I14" s="1147">
        <f>IF(ISNUMBER(H14/B14),H14/B14," - ")</f>
        <v>148.33333333333334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129</v>
      </c>
      <c r="E17" s="452">
        <f t="shared" si="3"/>
        <v>64.5</v>
      </c>
      <c r="F17" s="451">
        <f>IF(ISNUMBER(Datos!N17),Datos!N17," - ")</f>
        <v>527</v>
      </c>
      <c r="G17" s="452">
        <f t="shared" si="4"/>
        <v>263.5</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143</v>
      </c>
      <c r="E23" s="1147">
        <f t="shared" si="3"/>
        <v>47.666666666666664</v>
      </c>
      <c r="F23" s="1146">
        <f>SUBTOTAL(9,F16:F22)</f>
        <v>575</v>
      </c>
      <c r="G23" s="1147">
        <f t="shared" si="4"/>
        <v>191.66666666666666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355</v>
      </c>
      <c r="E31" s="1085">
        <f>IF(ISNUMBER(D31/B31),D31/B31," - ")</f>
        <v>177.5</v>
      </c>
      <c r="F31" s="1084">
        <f>SUBTOTAL(9,F8:F30)</f>
        <v>815</v>
      </c>
      <c r="G31" s="1085">
        <f>IF(ISNUMBER(F31/B31),F31/B31," - ")</f>
        <v>407.5</v>
      </c>
      <c r="H31" s="1084">
        <f>SUBTOTAL(9,H8:H30)</f>
        <v>445</v>
      </c>
      <c r="I31" s="1085">
        <f>IF(ISNUMBER(H31/B31),H31/B31," - ")</f>
        <v>222.5</v>
      </c>
    </row>
    <row r="34" spans="1:1">
      <c r="A34" s="439" t="str">
        <f>Criterios!A4</f>
        <v>Fecha Informe: 14 abr. 2023</v>
      </c>
    </row>
    <row r="39" spans="1:1">
      <c r="A39" s="462"/>
    </row>
  </sheetData>
  <sheetProtection algorithmName="SHA-512" hashValue="kNG4AipxrFGANn1CLMo9njKuD/iDXqJdwnW08pjnVagVo4UjU3YyElxsCGGFcwAF/Aa+vRybtomf8lOnLryE6Q==" saltValue="wI3CUz9/NndCQkHhy5VG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MOTILLA DEL PALANCAR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4</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223</v>
      </c>
      <c r="C12" s="489">
        <f>IF(ISNUMBER(Datos!Q12),Datos!Q12," - ")</f>
        <v>299</v>
      </c>
      <c r="D12" s="456">
        <f>IF(ISNUMBER(Datos!R12),Datos!R12," - ")</f>
        <v>1917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223</v>
      </c>
      <c r="C14" s="1150">
        <f>SUBTOTAL(9,C9:C13)</f>
        <v>303</v>
      </c>
      <c r="D14" s="1148">
        <f>SUBTOTAL(9,D9:D13)</f>
        <v>1923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100</v>
      </c>
      <c r="D17" s="456">
        <f>IF(ISNUMBER(Datos!R17),Datos!R17," - ")</f>
        <v>79</v>
      </c>
    </row>
    <row r="18" spans="1:4">
      <c r="A18" s="450" t="str">
        <f>Datos!A18</f>
        <v>Jdos. Violencia contra la mujer</v>
      </c>
      <c r="B18" s="488">
        <f>IF(ISNUMBER(Datos!P18),Datos!P18," - ")</f>
        <v>1</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100</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241</v>
      </c>
      <c r="C31" s="1089">
        <f>SUBTOTAL(9,C8:C30)</f>
        <v>403</v>
      </c>
      <c r="D31" s="1090">
        <f>SUBTOTAL(9,D8:D30)</f>
        <v>2012</v>
      </c>
    </row>
    <row r="32" spans="1:4" ht="7.5" customHeight="1"/>
    <row r="33" spans="1:1" ht="6" customHeight="1"/>
    <row r="34" spans="1:1">
      <c r="A34" s="439" t="str">
        <f>Criterios!A4</f>
        <v>Fecha Informe: 14 abr. 2023</v>
      </c>
    </row>
    <row r="39" spans="1:1">
      <c r="A39" s="462"/>
    </row>
  </sheetData>
  <sheetProtection algorithmName="SHA-512" hashValue="DgvokyoW/niOdvHAiQQIOFhcizokbMF9+dqlplYXauWV1mItGZKy+OBwt8ubzq0czflRLPWQ3kSw2VRTkwL6+g==" saltValue="aa9dbwBIG4Rsx1wV8lzV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MOTILLA DEL PALANCAR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-0.21052631578947367</v>
      </c>
      <c r="C10" s="515">
        <f>IF(ISNUMBER((Datos!J10-Datos!T10)/Datos!T10),(Datos!J10-Datos!T10)/Datos!T10," - ")</f>
        <v>0.7142857142857143</v>
      </c>
      <c r="D10" s="515">
        <f>IF(ISNUMBER((Datos!K10-Datos!U10)/Datos!U10),(Datos!K10-Datos!U10)/Datos!U10," - ")</f>
        <v>0.18181818181818182</v>
      </c>
      <c r="E10" s="515">
        <f>IF(ISNUMBER((Datos!L10-Datos!V10)/Datos!V10),(Datos!L10-Datos!V10)/Datos!V10," - ")</f>
        <v>-6.6666666666666666E-2</v>
      </c>
      <c r="F10" s="515">
        <f>IF(ISNUMBER((Datos!M10-Datos!W10)/Datos!W10),(Datos!M10-Datos!W10)/Datos!W10," - ")</f>
        <v>0.6</v>
      </c>
      <c r="G10" s="516">
        <f>IF(ISNUMBER((Datos!N10-Datos!X10)/Datos!X10),(Datos!N10-Datos!X10)/Datos!X10," - ")</f>
        <v>0</v>
      </c>
      <c r="H10" s="514">
        <f>IF(ISNUMBER(((NºAsuntos!G10/NºAsuntos!E10)-Datos!BD10)/Datos!BD10),((NºAsuntos!G10/NºAsuntos!E10)-Datos!BD10)/Datos!BD10," - ")</f>
        <v>-0.31060606060606066</v>
      </c>
      <c r="I10" s="515">
        <f>IF(ISNUMBER(((NºAsuntos!I10/NºAsuntos!G10)-Datos!BE10)/Datos!BE10),((NºAsuntos!I10/NºAsuntos!G10)-Datos!BE10)/Datos!BE10," - ")</f>
        <v>-0.21025641025641023</v>
      </c>
      <c r="J10" s="521">
        <f>IF(ISNUMBER((('Resol  Asuntos'!D10/NºAsuntos!G10)-Datos!BF10)/Datos!BF10),(('Resol  Asuntos'!D10/NºAsuntos!G10)-Datos!BF10)/Datos!BF10," - ")</f>
        <v>0.35384615384615398</v>
      </c>
      <c r="K10" s="522">
        <f>IF(ISNUMBER((((NºAsuntos!C10+NºAsuntos!E10)/NºAsuntos!G10)-Datos!BG10)/Datos!BG10),(((NºAsuntos!C10+NºAsuntos!E10)/NºAsuntos!G10)-Datos!BG10)/Datos!BG10," - ")</f>
        <v>-0.12130177514792896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0.24107850911974624</v>
      </c>
      <c r="C12" s="515">
        <f>IF(ISNUMBER(
   IF(J_V="SI",(Datos!J12-Datos!T12)/Datos!T12,(Datos!J12+Datos!Z12-(Datos!T12+Datos!AH12))/(Datos!T12+Datos!AH12))
     ),IF(J_V="SI",(Datos!J12-Datos!T12)/Datos!T12,(Datos!J12+Datos!Z12-(Datos!T12+Datos!AH12))/(Datos!T12+Datos!AH12))," - ")</f>
        <v>5.9099437148217637E-2</v>
      </c>
      <c r="D12" s="515">
        <f>IF(ISNUMBER(
   IF(J_V="SI",(Datos!K12-Datos!U12)/Datos!U12,(Datos!K12+Datos!AA12-(Datos!U12+Datos!AI12))/(Datos!U12+Datos!AI12))
     ),IF(J_V="SI",(Datos!K12-Datos!U12)/Datos!U12,(Datos!K12+Datos!AA12-(Datos!U12+Datos!AI12))/(Datos!U12+Datos!AI12))," - ")</f>
        <v>0.27952755905511811</v>
      </c>
      <c r="E12" s="515">
        <f>IF(ISNUMBER(
   IF(J_V="SI",(Datos!L12-Datos!V12)/Datos!V12,(Datos!L12+Datos!AB12-(Datos!V12+Datos!AJ12))/(Datos!V12+Datos!AJ12))
     ),IF(J_V="SI",(Datos!L12-Datos!V12)/Datos!V12,(Datos!L12+Datos!AB12-(Datos!V12+Datos!AJ12))/(Datos!V12+Datos!AJ12))," - ")</f>
        <v>9.5207667731629392E-2</v>
      </c>
      <c r="F12" s="515">
        <f>IF(ISNUMBER((Datos!M12-Datos!W12)/Datos!W12),(Datos!M12-Datos!W12)/Datos!W12," - ")</f>
        <v>3.0303030303030304E-2</v>
      </c>
      <c r="G12" s="516">
        <f>IF(ISNUMBER((Datos!N12-Datos!X12)/Datos!X12),(Datos!N12-Datos!X12)/Datos!X12," - ")</f>
        <v>-9.4696969696969696E-2</v>
      </c>
      <c r="H12" s="514">
        <f>IF(ISNUMBER(((NºAsuntos!G12/NºAsuntos!E12)-Datos!BD12)/Datos!BD12),((NºAsuntos!G12/NºAsuntos!E12)-Datos!BD12)/Datos!BD12," - ")</f>
        <v>0.20812788126904863</v>
      </c>
      <c r="I12" s="515">
        <f>IF(ISNUMBER(((NºAsuntos!I12/NºAsuntos!G12)-Datos!BE12)/Datos!BE12),((NºAsuntos!I12/NºAsuntos!G12)-Datos!BE12)/Datos!BE12," - ")</f>
        <v>-0.14405308429589592</v>
      </c>
      <c r="J12" s="521">
        <f>IF(ISNUMBER((('Resol  Asuntos'!D12/NºAsuntos!G12)-Datos!BF12)/Datos!BF12),(('Resol  Asuntos'!D12/NºAsuntos!G12)-Datos!BF12)/Datos!BF12," - ")</f>
        <v>-0.39608391608391613</v>
      </c>
      <c r="K12" s="522">
        <f>IF(ISNUMBER((((NºAsuntos!C12+NºAsuntos!E12)/NºAsuntos!G12)-Datos!BG12)/Datos!BG12),(((NºAsuntos!C12+NºAsuntos!E12)/NºAsuntos!G12)-Datos!BG12)/Datos!BG12," - ")</f>
        <v>-9.5202142077947846E-2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0.234375</v>
      </c>
      <c r="C14" s="1152">
        <f>IF(ISNUMBER(
   IF(J_V="SI",(Datos!J14-Datos!T14)/Datos!T14,(Datos!J14+Datos!Z14-(Datos!T14+Datos!AH14))/(Datos!T14+Datos!AH14))
     ),IF(J_V="SI",(Datos!J14-Datos!T14)/Datos!T14,(Datos!J14+Datos!Z14-(Datos!T14+Datos!AH14))/(Datos!T14+Datos!AH14))," - ")</f>
        <v>6.3373718546132343E-2</v>
      </c>
      <c r="D14" s="1152">
        <f>IF(ISNUMBER(
   IF(J_V="SI",(Datos!K14-Datos!U14)/Datos!U14,(Datos!K14+Datos!AA14-(Datos!U14+Datos!AI14))/(Datos!U14+Datos!AI14))
     ),IF(J_V="SI",(Datos!K14-Datos!U14)/Datos!U14,(Datos!K14+Datos!AA14-(Datos!U14+Datos!AI14))/(Datos!U14+Datos!AI14))," - ")</f>
        <v>0.27813712807244501</v>
      </c>
      <c r="E14" s="1152">
        <f>IF(ISNUMBER(
   IF(J_V="SI",(Datos!L14-Datos!V14)/Datos!V14,(Datos!L14+Datos!AB14-(Datos!V14+Datos!AJ14))/(Datos!V14+Datos!AJ14))
     ),IF(J_V="SI",(Datos!L14-Datos!V14)/Datos!V14,(Datos!L14+Datos!AB14-(Datos!V14+Datos!AJ14))/(Datos!V14+Datos!AJ14))," - ")</f>
        <v>9.3670886075949367E-2</v>
      </c>
      <c r="F14" s="1153">
        <f>IF(ISNUMBER((Datos!M14-Datos!W14)/Datos!W14),(Datos!M14-Datos!W14)/Datos!W14," - ")</f>
        <v>4.4334975369458129E-2</v>
      </c>
      <c r="G14" s="1154">
        <f>IF(ISNUMBER((Datos!N14-Datos!X14)/Datos!X14),(Datos!N14-Datos!X14)/Datos!X14," - ")</f>
        <v>-9.4339622641509441E-2</v>
      </c>
      <c r="H14" s="1154">
        <f>IF(ISNUMBER(((NºAsuntos!G14/NºAsuntos!E14)-Datos!BD14)/Datos!BD14),((NºAsuntos!G14/NºAsuntos!E14)-Datos!BD14)/Datos!BD14," - ")</f>
        <v>0.20196418792439394</v>
      </c>
      <c r="I14" s="1154">
        <f>IF(ISNUMBER(((NºAsuntos!I14/NºAsuntos!G14)-Datos!BE14)/Datos!BE14),((NºAsuntos!I14/NºAsuntos!G14)-Datos!BE14)/Datos!BE14," - ")</f>
        <v>-0.14432429662276433</v>
      </c>
      <c r="J14" s="1154">
        <f>IF(ISNUMBER((('Resol  Asuntos'!D14/NºAsuntos!G14)-Datos!BF14)/Datos!BF14),(('Resol  Asuntos'!D14/NºAsuntos!G14)-Datos!BF14)/Datos!BF14," - ")</f>
        <v>-0.38339629456827651</v>
      </c>
      <c r="K14" s="1154">
        <f>IF(ISNUMBER((((NºAsuntos!C14+NºAsuntos!E14)/NºAsuntos!G14)-Datos!BG14)/Datos!BG14),(((NºAsuntos!C14+NºAsuntos!E14)/NºAsuntos!G14)-Datos!BG14)/Datos!BG14," - ")</f>
        <v>-9.5248808051053777E-2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0.14402173913043478</v>
      </c>
      <c r="C17" s="515">
        <f>IF(ISNUMBER(
   IF(D_I="SI",(Datos!J17-Datos!T17)/Datos!T17,(Datos!J17+Datos!AD17-(Datos!T17+Datos!AL17))/(Datos!T17+Datos!AL17))
     ),IF(D_I="SI",(Datos!J17-Datos!T17)/Datos!T17,(Datos!J17+Datos!AD17-(Datos!T17+Datos!AL17))/(Datos!T17+Datos!AL17))," - ")</f>
        <v>2.3396880415944541E-2</v>
      </c>
      <c r="D17" s="515">
        <f>IF(ISNUMBER(
   IF(D_I="SI",(Datos!K17-Datos!U17)/Datos!U17,(Datos!K17+Datos!AE17-(Datos!U17+Datos!AM17))/(Datos!U17+Datos!AM17))
     ),IF(D_I="SI",(Datos!K17-Datos!U17)/Datos!U17,(Datos!K17+Datos!AE17-(Datos!U17+Datos!AM17))/(Datos!U17+Datos!AM17))," - ")</f>
        <v>-5.1477597712106769E-2</v>
      </c>
      <c r="E17" s="515">
        <f>IF(ISNUMBER(
   IF(D_I="SI",(Datos!L17-Datos!V17)/Datos!V17,(Datos!L17+Datos!AF17-(Datos!V17+Datos!AN17))/(Datos!V17+Datos!AN17))
     ),IF(D_I="SI",(Datos!L17-Datos!V17)/Datos!V17,(Datos!L17+Datos!AF17-(Datos!V17+Datos!AN17))/(Datos!V17+Datos!AN17))," - ")</f>
        <v>0.10451306413301663</v>
      </c>
      <c r="F17" s="515">
        <f>IF(ISNUMBER((Datos!M17-Datos!W17)/Datos!W17),(Datos!M17-Datos!W17)/Datos!W17," - ")</f>
        <v>-0.14569536423841059</v>
      </c>
      <c r="G17" s="516">
        <f>IF(ISNUMBER((Datos!N17-Datos!X17)/Datos!X17),(Datos!N17-Datos!X17)/Datos!X17," - ")</f>
        <v>-6.5602836879432622E-2</v>
      </c>
      <c r="H17" s="514">
        <f>IF(ISNUMBER(((NºAsuntos!G17/NºAsuntos!E17)-Datos!BD17)/Datos!BD17),((NºAsuntos!G17/NºAsuntos!E17)-Datos!BD17)/Datos!BD17," - ")</f>
        <v>-7.3162699203870613E-2</v>
      </c>
      <c r="I17" s="515">
        <f>IF(ISNUMBER(((NºAsuntos!I17/NºAsuntos!G17)-Datos!BE17)/Datos!BE17),((NºAsuntos!I17/NºAsuntos!G17)-Datos!BE17)/Datos!BE17," - ")</f>
        <v>0.16445648670907992</v>
      </c>
      <c r="J17" s="521">
        <f>IF(ISNUMBER((('Resol  Asuntos'!D17/NºAsuntos!G17)-Datos!BF17)/Datos!BF17),(('Resol  Asuntos'!D17/NºAsuntos!G17)-Datos!BF17)/Datos!BF17," - ")</f>
        <v>-9.9331092548836888E-2</v>
      </c>
      <c r="K17" s="522">
        <f>IF(ISNUMBER((((NºAsuntos!C17+NºAsuntos!E17)/NºAsuntos!G17)-Datos!BG17)/Datos!BG17),(((NºAsuntos!C17+NºAsuntos!E17)/NºAsuntos!G17)-Datos!BG17)/Datos!BG17," - ")</f>
        <v>0.12846082263167699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-0.15094339622641509</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0.14583333333333334</v>
      </c>
      <c r="E18" s="515">
        <f>IF(ISNUMBER(
   IF(D_I="SI",(Datos!L18-Datos!V18)/Datos!V18,(Datos!L18+Datos!AF18-(Datos!V18+Datos!AN18))/(Datos!V18+Datos!AN18))
     ),IF(D_I="SI",(Datos!L18-Datos!V18)/Datos!V18,(Datos!L18+Datos!AF18-(Datos!V18+Datos!AN18))/(Datos!V18+Datos!AN18))," - ")</f>
        <v>0</v>
      </c>
      <c r="F18" s="515">
        <f>IF(ISNUMBER((Datos!M18-Datos!W18)/Datos!W18),(Datos!M18-Datos!W18)/Datos!W18," - ")</f>
        <v>-6.6666666666666666E-2</v>
      </c>
      <c r="G18" s="516">
        <f>IF(ISNUMBER((Datos!N18-Datos!X18)/Datos!X18),(Datos!N18-Datos!X18)/Datos!X18," - ")</f>
        <v>-0.21311475409836064</v>
      </c>
      <c r="H18" s="514">
        <f>IF(ISNUMBER(((NºAsuntos!G18/NºAsuntos!E18)-Datos!BD18)/Datos!BD18),((NºAsuntos!G18/NºAsuntos!E18)-Datos!BD18)/Datos!BD18," - ")</f>
        <v>-8.3333333333333259E-2</v>
      </c>
      <c r="I18" s="515">
        <f>IF(ISNUMBER(((NºAsuntos!I18/NºAsuntos!G18)-Datos!BE18)/Datos!BE18),((NºAsuntos!I18/NºAsuntos!G18)-Datos!BE18)/Datos!BE18," - ")</f>
        <v>-0.12727272727272723</v>
      </c>
      <c r="J18" s="521">
        <f>IF(ISNUMBER((('Resol  Asuntos'!D18/NºAsuntos!G18)-Datos!BF18)/Datos!BF18),(('Resol  Asuntos'!D18/NºAsuntos!G18)-Datos!BF18)/Datos!BF18," - ")</f>
        <v>-0.18545454545454554</v>
      </c>
      <c r="K18" s="522">
        <f>IF(ISNUMBER((((NºAsuntos!C18+NºAsuntos!E18)/NºAsuntos!G18)-Datos!BG18)/Datos!BG18),(((NºAsuntos!C18+NºAsuntos!E18)/NºAsuntos!G18)-Datos!BG18)/Datos!BG18," - ")</f>
        <v>-4.0618955512572476E-2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0.12420785804816223</v>
      </c>
      <c r="C23" s="1152">
        <f>IF(ISNUMBER(
   IF(Criterios!B14="SI",(Datos!J23-Datos!T23)/Datos!T23,(Datos!J23+Datos!AD23-(Datos!T23+Datos!AL23))/(Datos!T23+Datos!AL23))
     ),IF(Criterios!B14="SI",(Datos!J23-Datos!T23)/Datos!T23,(Datos!J23+Datos!AD23-(Datos!T23+Datos!AL23))/(Datos!T23+Datos!AL23))," - ")</f>
        <v>3.9452495974235106E-2</v>
      </c>
      <c r="D23" s="1152">
        <f>IF(ISNUMBER(
   IF(Criterios!B14="SI",(Datos!K23-Datos!U23)/Datos!U23,(Datos!K23+Datos!AE23-(Datos!U23+Datos!AM23))/(Datos!U23+Datos!AM23))
     ),IF(Criterios!B14="SI",(Datos!K23-Datos!U23)/Datos!U23,(Datos!K23+Datos!AE23-(Datos!U23+Datos!AM23))/(Datos!U23+Datos!AM23))," - ")</f>
        <v>-3.4934497816593885E-2</v>
      </c>
      <c r="E23" s="1152">
        <f>IF(ISNUMBER(
   IF(Criterios!B14="SI",(Datos!L23-Datos!V23)/Datos!V23,(Datos!L23+Datos!AF23-(Datos!V23+Datos!AN23))/(Datos!V23+Datos!AN23))
     ),IF(Criterios!B14="SI",(Datos!L23-Datos!V23)/Datos!V23,(Datos!L23+Datos!AF23-(Datos!V23+Datos!AN23))/(Datos!V23+Datos!AN23))," - ")</f>
        <v>9.92108229988726E-2</v>
      </c>
      <c r="F23" s="1153">
        <f>IF(ISNUMBER((Datos!M23-Datos!W23)/Datos!W23),(Datos!M23-Datos!W23)/Datos!W23," - ")</f>
        <v>-0.13855421686746988</v>
      </c>
      <c r="G23" s="1154">
        <f>IF(ISNUMBER((Datos!N23-Datos!X23)/Datos!X23),(Datos!N23-Datos!X23)/Datos!X23," - ")</f>
        <v>-0.08</v>
      </c>
      <c r="H23" s="1154">
        <f>IF(ISNUMBER(((NºAsuntos!G23/NºAsuntos!E23)-Datos!BD23)/Datos!BD23),((NºAsuntos!G23/NºAsuntos!E23)-Datos!BD23)/Datos!BD23," - ")</f>
        <v>-7.1563629967629439E-2</v>
      </c>
      <c r="I23" s="1154">
        <f>IF(ISNUMBER(((NºAsuntos!I23/NºAsuntos!G23)-Datos!BE23)/Datos!BE23),((NºAsuntos!I23/NºAsuntos!G23)-Datos!BE23)/Datos!BE23," - ")</f>
        <v>0.13900126003050589</v>
      </c>
      <c r="J23" s="1154">
        <f>IF(ISNUMBER((('Resol  Asuntos'!D23/NºAsuntos!G23)-Datos!BF23)/Datos!BF23),(('Resol  Asuntos'!D23/NºAsuntos!G23)-Datos!BF23)/Datos!BF23," - ")</f>
        <v>-0.10737065910701614</v>
      </c>
      <c r="K23" s="1154">
        <f>IF(ISNUMBER((((NºAsuntos!C23+NºAsuntos!E23)/NºAsuntos!G23)-Datos!BG23)/Datos!BG23),(((NºAsuntos!C23+NºAsuntos!E23)/NºAsuntos!G23)-Datos!BG23)/Datos!BG23," - ")</f>
        <v>0.11119725699619702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0.19236346060898984</v>
      </c>
      <c r="C31" s="1092">
        <f>IF(ISNUMBER(
   IF(J_V="SI",(Datos!J31-Datos!T31)/Datos!T31,(Datos!J31+Datos!Z31-(Datos!T31+Datos!AH31))/(Datos!T31+Datos!AH31))
     ),IF(J_V="SI",(Datos!J31-Datos!T31)/Datos!T31,(Datos!J31+Datos!Z31-(Datos!T31+Datos!AH31))/(Datos!T31+Datos!AH31))," - ")</f>
        <v>5.0539956803455723E-2</v>
      </c>
      <c r="D31" s="1092">
        <f>IF(ISNUMBER(
   IF(J_V="SI",(Datos!K31-Datos!U31)/Datos!U31,(Datos!K31+Datos!AA31-(Datos!U31+Datos!AI31))/(Datos!U31+Datos!AI31))
     ),IF(J_V="SI",(Datos!K31-Datos!U31)/Datos!U31,(Datos!K31+Datos!AA31-(Datos!U31+Datos!AI31))/(Datos!U31+Datos!AI31))," - ")</f>
        <v>9.1240875912408759E-2</v>
      </c>
      <c r="E31" s="1092">
        <f>IF(ISNUMBER(
   IF(J_V="SI",(Datos!L31-Datos!V31)/Datos!V31,(Datos!L31+Datos!AB31-(Datos!V31+Datos!AJ31))/(Datos!V31+Datos!AJ31))
     ),IF(J_V="SI",(Datos!L31-Datos!V31)/Datos!V31,(Datos!L31+Datos!AB31-(Datos!V31+Datos!AJ31))/(Datos!V31+Datos!AJ31))," - ")</f>
        <v>9.5662748277259832E-2</v>
      </c>
      <c r="F31" s="1093">
        <f>IF(ISNUMBER((Datos!M31-Datos!W31)/Datos!W31),(Datos!M31-Datos!W31)/Datos!W31," - ")</f>
        <v>-3.7940379403794036E-2</v>
      </c>
      <c r="G31" s="1094">
        <f>IF(ISNUMBER((Datos!N31-Datos!X31)/Datos!X31),(Datos!N31-Datos!X31)/Datos!X31," - ")</f>
        <v>-8.4269662921348312E-2</v>
      </c>
      <c r="H31" s="1095">
        <f>IF(ISNUMBER((Tasas!B31-Datos!BD31)/Datos!BD31),(Tasas!B31-Datos!BD31)/Datos!BD31," - ")</f>
        <v>3.8742856799846383E-2</v>
      </c>
      <c r="I31" s="1096">
        <f>IF(ISNUMBER((Tasas!C31-Datos!BE31)/Datos!BE31),(Tasas!C31-Datos!BE31)/Datos!BE31," - ")</f>
        <v>4.0521505952146727E-3</v>
      </c>
      <c r="J31" s="1097">
        <f>IF(ISNUMBER((Tasas!D31-Datos!BF31)/Datos!BF31),(Tasas!D31-Datos!BF31)/Datos!BF31," - ")</f>
        <v>-0.25214315918963592</v>
      </c>
      <c r="K31" s="1097">
        <f>IF(ISNUMBER((Tasas!E31-Datos!BG31)/Datos!BG31),(Tasas!E31-Datos!BG31)/Datos!BG31," - ")</f>
        <v>2.4038461538461647E-2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aaBAcIZ6EvMbgdJrPL8BB9mEFak7i56jpkE4aleDK4zOqRWF7T21qhTD81U1P8S4aSaoyN8MQ7heU+s6O7Jag==" saltValue="1cRSIY63H0RVwkl2akvs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MOTILLA DEL PALANCAR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1.0833333333333333</v>
      </c>
      <c r="C10" s="498">
        <f>IF(ISNUMBER(NºAsuntos!I10/NºAsuntos!G10),NºAsuntos!I10/NºAsuntos!G10," - ")</f>
        <v>1.0769230769230769</v>
      </c>
      <c r="D10" s="499">
        <f>IF(ISNUMBER('Resol  Asuntos'!D10/NºAsuntos!G10),'Resol  Asuntos'!D10/NºAsuntos!G10," - ")</f>
        <v>0.61538461538461542</v>
      </c>
      <c r="E10" s="500">
        <f>IF(ISNUMBER((NºAsuntos!C10+NºAsuntos!E10)/NºAsuntos!G10),(NºAsuntos!C10+NºAsuntos!E10)/NºAsuntos!G10," - ")</f>
        <v>2.0769230769230771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0.86359610274579268</v>
      </c>
      <c r="C12" s="498">
        <f>IF(ISNUMBER(NºAsuntos!I12/NºAsuntos!G12),NºAsuntos!I12/NºAsuntos!G12," - ")</f>
        <v>1.7579487179487179</v>
      </c>
      <c r="D12" s="499">
        <f>IF(ISNUMBER('Resol  Asuntos'!D12/NºAsuntos!G12),'Resol  Asuntos'!D12/NºAsuntos!G12," - ")</f>
        <v>0.20923076923076922</v>
      </c>
      <c r="E12" s="500">
        <f>IF(ISNUMBER((NºAsuntos!C12+NºAsuntos!E12)/NºAsuntos!G12),(NºAsuntos!C12+NºAsuntos!E12)/NºAsuntos!G12," - ")</f>
        <v>2.7630769230769232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0.86590709903593344</v>
      </c>
      <c r="C14" s="1156">
        <f>IF(ISNUMBER(NºAsuntos!I14/NºAsuntos!G14),NºAsuntos!I14/NºAsuntos!G14," - ")</f>
        <v>1.7489878542510122</v>
      </c>
      <c r="D14" s="1157">
        <f>IF(ISNUMBER('Resol  Asuntos'!D14/NºAsuntos!G14),'Resol  Asuntos'!D14/NºAsuntos!G14," - ")</f>
        <v>0.2145748987854251</v>
      </c>
      <c r="E14" s="1158">
        <f>IF(ISNUMBER((NºAsuntos!C14+NºAsuntos!E14)/NºAsuntos!G14),(NºAsuntos!C14+NºAsuntos!E14)/NºAsuntos!G14," - ")</f>
        <v>2.7540485829959516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0.84250635055038103</v>
      </c>
      <c r="C17" s="498">
        <f>IF(ISNUMBER(NºAsuntos!I17/NºAsuntos!G17),NºAsuntos!I17/NºAsuntos!G17," - ")</f>
        <v>0.9346733668341709</v>
      </c>
      <c r="D17" s="499">
        <f>IF(ISNUMBER('Resol  Asuntos'!D17/NºAsuntos!G17),'Resol  Asuntos'!D17/NºAsuntos!G17," - ")</f>
        <v>0.12964824120603016</v>
      </c>
      <c r="E17" s="500">
        <f>IF(ISNUMBER((NºAsuntos!C17+NºAsuntos!E17)/NºAsuntos!G17),(NºAsuntos!C17+NºAsuntos!E17)/NºAsuntos!G17," - ")</f>
        <v>2.0331658291457289</v>
      </c>
      <c r="G17" s="523"/>
    </row>
    <row r="18" spans="1:7">
      <c r="A18" s="450" t="str">
        <f>Datos!A18</f>
        <v>Jdos. Violencia contra la mujer</v>
      </c>
      <c r="B18" s="497">
        <f>IF(ISNUMBER(NºAsuntos!G18/NºAsuntos!E18),NºAsuntos!G18/NºAsuntos!E18," - ")</f>
        <v>1</v>
      </c>
      <c r="C18" s="498">
        <f>IF(ISNUMBER(NºAsuntos!I18/NºAsuntos!G18),NºAsuntos!I18/NºAsuntos!G18," - ")</f>
        <v>0.40909090909090912</v>
      </c>
      <c r="D18" s="499">
        <f>IF(ISNUMBER('Resol  Asuntos'!D18/NºAsuntos!G18),'Resol  Asuntos'!D18/NºAsuntos!G18," - ")</f>
        <v>0.12727272727272726</v>
      </c>
      <c r="E18" s="500">
        <f>IF(ISNUMBER((NºAsuntos!C18+NºAsuntos!E18)/NºAsuntos!G18),(NºAsuntos!C18+NºAsuntos!E18)/NºAsuntos!G18," - ")</f>
        <v>1.4090909090909092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0.85592563903950425</v>
      </c>
      <c r="C23" s="1156">
        <f>IF(ISNUMBER(NºAsuntos!I23/NºAsuntos!G23),NºAsuntos!I23/NºAsuntos!G23," - ")</f>
        <v>0.88235294117647056</v>
      </c>
      <c r="D23" s="1159">
        <f>IF(ISNUMBER('Resol  Asuntos'!D23/NºAsuntos!G23),'Resol  Asuntos'!D23/NºAsuntos!G23," - ")</f>
        <v>0.12941176470588237</v>
      </c>
      <c r="E23" s="1158">
        <f>IF(ISNUMBER((NºAsuntos!C23+NºAsuntos!E23)/NºAsuntos!G23),(NºAsuntos!C23+NºAsuntos!E23)/NºAsuntos!G23," - ")</f>
        <v>1.9710407239819006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0.86060855263157898</v>
      </c>
      <c r="C31" s="1099">
        <f>IF(ISNUMBER(NºAsuntos!I31/NºAsuntos!G31),NºAsuntos!I31/NºAsuntos!G31," - ")</f>
        <v>1.2914476827520305</v>
      </c>
      <c r="D31" s="1100">
        <f>IF(ISNUMBER('Resol  Asuntos'!D31/NºAsuntos!G31),'Resol  Asuntos'!D31/NºAsuntos!G31," - ")</f>
        <v>0.16961299569995222</v>
      </c>
      <c r="E31" s="1101">
        <f>IF(ISNUMBER((NºAsuntos!C31+NºAsuntos!E31)/NºAsuntos!G31),(NºAsuntos!C31+NºAsuntos!E31)/NºAsuntos!G31," - ")</f>
        <v>2.3406593406593408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CKiRtDU3v+d4sqX1t2WBZzVGoMI9mxLcpfkLIOHXp9MD7dhIYa5hD0Mr28X4P3QPIxrE5R/IVtGuA4KZ3GsKQ==" saltValue="OEQUVaf3SqhxMzWif9lT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MOTILLA DEL PALANCAR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4</v>
      </c>
      <c r="Y10" s="374">
        <f t="shared" ref="Y10:Y13" si="0">SUM(W10:X10)</f>
        <v>17</v>
      </c>
      <c r="Z10" s="375" t="str">
        <f>IF(ISNUMBER(Datos!CC10),Datos!CC10," - ")</f>
        <v xml:space="preserve"> - </v>
      </c>
      <c r="AA10" s="372">
        <f>IF(ISNUMBER(Datos!L10),Datos!L10,"-")</f>
        <v>14</v>
      </c>
      <c r="AB10" s="374">
        <f>IF(ISNUMBER(Datos!R10),Datos!R10," - ")</f>
        <v>6</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1.0833333333333333</v>
      </c>
      <c r="AM10" s="284">
        <f>IF(ISNUMBER(((NºAsuntos!I10/NºAsuntos!G10)*11)/factor_trimestre),((NºAsuntos!I10/NºAsuntos!G10)*11)/factor_trimestre," - ")</f>
        <v>11.846153846153845</v>
      </c>
      <c r="AN10" s="267">
        <f>IF(ISNUMBER('Resol  Asuntos'!D10/NºAsuntos!G10),'Resol  Asuntos'!D10/NºAsuntos!G10," - ")</f>
        <v>0.61538461538461542</v>
      </c>
      <c r="AO10" s="268">
        <f>IF(ISNUMBER((NºAsuntos!C10+NºAsuntos!E10)/NºAsuntos!G10),(NºAsuntos!C10+NºAsuntos!E10)/NºAsuntos!G10," - ")</f>
        <v>2.0769230769230771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299</v>
      </c>
      <c r="Y12" s="374">
        <f t="shared" si="0"/>
        <v>299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204</v>
      </c>
      <c r="AJ12" s="243" t="str">
        <f>IF(ISNUMBER(Datos!BW12),Datos!BW12," - ")</f>
        <v xml:space="preserve"> - </v>
      </c>
      <c r="AK12" s="242" t="str">
        <f>IF(ISNUMBER(Datos!BX12),Datos!BX12," - ")</f>
        <v xml:space="preserve"> - </v>
      </c>
      <c r="AL12" s="266">
        <f>IF(ISNUMBER(NºAsuntos!G12/NºAsuntos!E12),NºAsuntos!G12/NºAsuntos!E12," - ")</f>
        <v>0.86359610274579268</v>
      </c>
      <c r="AM12" s="284">
        <f>IF(ISNUMBER(((NºAsuntos!I12/NºAsuntos!G12)*11)/factor_trimestre),((NºAsuntos!I12/NºAsuntos!G12)*11)/factor_trimestre," - ")</f>
        <v>19.337435897435896</v>
      </c>
      <c r="AN12" s="267">
        <f>IF(ISNUMBER('Resol  Asuntos'!D12/NºAsuntos!G12),'Resol  Asuntos'!D12/NºAsuntos!G12," - ")</f>
        <v>0.20923076923076922</v>
      </c>
      <c r="AO12" s="268">
        <f>IF(ISNUMBER((NºAsuntos!C12+NºAsuntos!E12)/NºAsuntos!G12),(NºAsuntos!C12+NºAsuntos!E12)/NºAsuntos!G12," - ")</f>
        <v>2.7630769230769232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223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303</v>
      </c>
      <c r="Y14" s="1165">
        <f t="shared" si="6"/>
        <v>316</v>
      </c>
      <c r="Z14" s="1165">
        <f t="shared" si="6"/>
        <v>0</v>
      </c>
      <c r="AA14" s="1165">
        <f t="shared" si="6"/>
        <v>14</v>
      </c>
      <c r="AB14" s="1165">
        <f t="shared" si="6"/>
        <v>1923</v>
      </c>
      <c r="AC14" s="1165">
        <f t="shared" si="6"/>
        <v>20</v>
      </c>
      <c r="AD14" s="1165">
        <f t="shared" si="6"/>
        <v>0</v>
      </c>
      <c r="AE14" s="1169">
        <f t="shared" si="6"/>
        <v>0</v>
      </c>
      <c r="AF14" s="1162">
        <f t="shared" si="6"/>
        <v>0</v>
      </c>
      <c r="AG14" s="1170">
        <f t="shared" si="6"/>
        <v>0</v>
      </c>
      <c r="AH14" s="1167">
        <f t="shared" si="6"/>
        <v>0</v>
      </c>
      <c r="AI14" s="1162">
        <f t="shared" si="6"/>
        <v>212</v>
      </c>
      <c r="AJ14" s="1164">
        <f t="shared" si="6"/>
        <v>0</v>
      </c>
      <c r="AK14" s="1167">
        <f>SUBTOTAL(9,AK9:AK13)</f>
        <v>0</v>
      </c>
      <c r="AL14" s="1171">
        <f>IF(ISNUMBER(NºAsuntos!G14/NºAsuntos!E14),NºAsuntos!G14/NºAsuntos!E14," - ")</f>
        <v>0.86590709903593344</v>
      </c>
      <c r="AM14" s="1171">
        <f>IF(ISNUMBER(((NºAsuntos!I14/NºAsuntos!G14)*11)/factor_trimestre),((NºAsuntos!I14/NºAsuntos!G14)*11)/factor_trimestre," - ")</f>
        <v>19.238866396761136</v>
      </c>
      <c r="AN14" s="1172">
        <f>IF(ISNUMBER('Resol  Asuntos'!D14/NºAsuntos!G14),'Resol  Asuntos'!D14/NºAsuntos!G14," - ")</f>
        <v>0.2145748987854251</v>
      </c>
      <c r="AO14" s="1173">
        <f>IF(ISNUMBER((NºAsuntos!C14+NºAsuntos!E14)/NºAsuntos!G14),(NºAsuntos!C14+NºAsuntos!E14)/NºAsuntos!G14," - ")</f>
        <v>2.7540485829959516</v>
      </c>
      <c r="AP14" s="1174" t="str">
        <f t="shared" si="2"/>
        <v xml:space="preserve"> - </v>
      </c>
      <c r="AQ14" s="1174">
        <f>IF(ISNUMBER((H14-W14+K14)/(F14)),(H14-W14+K14)/(F14)," - ")</f>
        <v>-0.8666666666666667</v>
      </c>
      <c r="AR14" s="1175">
        <f>IF(ISNUMBER((Datos!P14-Datos!Q14)/(Datos!R14-Datos!P14+Datos!Q14)),(Datos!P14-Datos!Q14)/(Datos!R14-Datos!P14+Datos!Q14)," - ")</f>
        <v>-3.99400898652022E-2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744</v>
      </c>
      <c r="G17" s="373">
        <f>IF(ISNUMBER(IF(D_I="SI",Datos!I17,Datos!I17+Datos!AC17)),IF(D_I="SI",Datos!I17,Datos!I17+Datos!AC17)," - ")</f>
        <v>842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995</v>
      </c>
      <c r="X17" s="240">
        <f>IF(ISNUMBER(Datos!Q17),Datos!Q17," - ")</f>
        <v>100</v>
      </c>
      <c r="Y17" s="374">
        <f t="shared" ref="Y17:Y22" si="9">SUM(W17:X17)</f>
        <v>1095</v>
      </c>
      <c r="Z17" s="375" t="str">
        <f>IF(ISNUMBER(Datos!CC17),Datos!CC17," - ")</f>
        <v xml:space="preserve"> - </v>
      </c>
      <c r="AA17" s="372">
        <f>IF(ISNUMBER(IF(D_I="SI",Datos!L17,Datos!L17+Datos!AF17)),IF(D_I="SI",Datos!L17,Datos!L17+Datos!AF17)," - ")</f>
        <v>930</v>
      </c>
      <c r="AB17" s="374">
        <f>IF(ISNUMBER(Datos!R17),Datos!R17," - ")</f>
        <v>79</v>
      </c>
      <c r="AC17" s="374">
        <f t="shared" si="8"/>
        <v>1009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129</v>
      </c>
      <c r="AJ17" s="245" t="str">
        <f>IF(ISNUMBER(Datos!BW17),Datos!BW17," - ")</f>
        <v xml:space="preserve"> - </v>
      </c>
      <c r="AK17" s="246" t="str">
        <f>IF(ISNUMBER(Datos!BX17),Datos!BX17," - ")</f>
        <v xml:space="preserve"> - </v>
      </c>
      <c r="AL17" s="266">
        <f>IF(ISNUMBER(NºAsuntos!G17/NºAsuntos!E17),NºAsuntos!G17/NºAsuntos!E17," - ")</f>
        <v>0.84250635055038103</v>
      </c>
      <c r="AM17" s="284">
        <f>IF(ISNUMBER(((NºAsuntos!I17/NºAsuntos!G17)*11)/factor_trimestre),((NºAsuntos!I17/NºAsuntos!G17)*11)/factor_trimestre," - ")</f>
        <v>10.28140703517588</v>
      </c>
      <c r="AN17" s="267">
        <f>IF(ISNUMBER('Resol  Asuntos'!D17/NºAsuntos!G17),'Resol  Asuntos'!D17/NºAsuntos!G17," - ")</f>
        <v>0.12964824120603016</v>
      </c>
      <c r="AO17" s="268">
        <f>IF(ISNUMBER((NºAsuntos!C17+NºAsuntos!E17)/NºAsuntos!G17),(NºAsuntos!C17+NºAsuntos!E17)/NºAsuntos!G17," - ")</f>
        <v>2.0331658291457289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45</v>
      </c>
      <c r="AB18" s="374">
        <f>IF(ISNUMBER(Datos!R18),Datos!R18," - ")</f>
        <v>10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4.5</v>
      </c>
      <c r="AN18" s="267">
        <f>IF(ISNUMBER('Resol  Asuntos'!D18/NºAsuntos!G18),'Resol  Asuntos'!D18/NºAsuntos!G18," - ")</f>
        <v>0.12727272727272726</v>
      </c>
      <c r="AO18" s="268">
        <f>IF(ISNUMBER((NºAsuntos!C18+NºAsuntos!E18)/NºAsuntos!G18),(NºAsuntos!C18+NºAsuntos!E18)/NºAsuntos!G18," - ")</f>
        <v>1.4090909090909092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744</v>
      </c>
      <c r="G23" s="1163">
        <f>SUBTOTAL(9,G16:G22)</f>
        <v>887</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1105</v>
      </c>
      <c r="X23" s="1164">
        <f t="shared" si="14"/>
        <v>100</v>
      </c>
      <c r="Y23" s="1165">
        <f t="shared" si="14"/>
        <v>1205</v>
      </c>
      <c r="Z23" s="1165">
        <f t="shared" si="14"/>
        <v>0</v>
      </c>
      <c r="AA23" s="1165">
        <f t="shared" si="14"/>
        <v>975</v>
      </c>
      <c r="AB23" s="1165">
        <f t="shared" si="14"/>
        <v>89</v>
      </c>
      <c r="AC23" s="1165">
        <f t="shared" si="14"/>
        <v>1064</v>
      </c>
      <c r="AD23" s="1165">
        <f t="shared" si="14"/>
        <v>0</v>
      </c>
      <c r="AE23" s="1169">
        <f t="shared" si="14"/>
        <v>0</v>
      </c>
      <c r="AF23" s="1162">
        <f t="shared" si="14"/>
        <v>0</v>
      </c>
      <c r="AG23" s="1170">
        <f t="shared" si="14"/>
        <v>0</v>
      </c>
      <c r="AH23" s="1167">
        <f t="shared" si="14"/>
        <v>0</v>
      </c>
      <c r="AI23" s="1162">
        <f t="shared" si="14"/>
        <v>143</v>
      </c>
      <c r="AJ23" s="1164">
        <f t="shared" si="14"/>
        <v>0</v>
      </c>
      <c r="AK23" s="1167">
        <f t="shared" si="14"/>
        <v>0</v>
      </c>
      <c r="AL23" s="1171">
        <f>IF(ISNUMBER(NºAsuntos!G23/NºAsuntos!E23),NºAsuntos!G23/NºAsuntos!E23," - ")</f>
        <v>0.85592563903950425</v>
      </c>
      <c r="AM23" s="1171">
        <f>IF(ISNUMBER(((NºAsuntos!I23/NºAsuntos!G23)*11)/factor_trimestre),((NºAsuntos!I23/NºAsuntos!G23)*11)/factor_trimestre," - ")</f>
        <v>9.7058823529411757</v>
      </c>
      <c r="AN23" s="1172">
        <f>IF(ISNUMBER('Resol  Asuntos'!D23/NºAsuntos!G23),'Resol  Asuntos'!D23/NºAsuntos!G23," - ")</f>
        <v>0.12941176470588237</v>
      </c>
      <c r="AO23" s="1173">
        <f>IF(ISNUMBER((NºAsuntos!C23+NºAsuntos!E23)/NºAsuntos!G23),(NºAsuntos!C23+NºAsuntos!E23)/NºAsuntos!G23," - ")</f>
        <v>1.9710407239819006</v>
      </c>
      <c r="AP23" s="1174" t="str">
        <f t="shared" si="2"/>
        <v xml:space="preserve"> - </v>
      </c>
      <c r="AQ23" s="1174">
        <f>IF(ISNUMBER((H23-W23+K23)/(F23)),(H23-W23+K23)/(F23)," - ")</f>
        <v>-1.4852150537634408</v>
      </c>
      <c r="AR23" s="1175">
        <f>IF(ISNUMBER((Datos!P23-Datos!Q23)/(Datos!R23-Datos!P23+Datos!Q23)),(Datos!P23-Datos!Q23)/(Datos!R23-Datos!P23+Datos!Q23)," - ")</f>
        <v>-0.47953216374269003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759</v>
      </c>
      <c r="G31" s="1118">
        <f t="shared" si="20"/>
        <v>902</v>
      </c>
      <c r="H31" s="1117">
        <f t="shared" si="20"/>
        <v>0</v>
      </c>
      <c r="I31" s="1119">
        <f t="shared" si="20"/>
        <v>0</v>
      </c>
      <c r="J31" s="1119">
        <f t="shared" si="20"/>
        <v>0</v>
      </c>
      <c r="K31" s="1180">
        <f t="shared" si="20"/>
        <v>0</v>
      </c>
      <c r="L31" s="1119">
        <f t="shared" si="20"/>
        <v>241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1118</v>
      </c>
      <c r="X31" s="1118">
        <f t="shared" si="21"/>
        <v>403</v>
      </c>
      <c r="Y31" s="1125">
        <f t="shared" si="21"/>
        <v>1521</v>
      </c>
      <c r="Z31" s="1125">
        <f t="shared" si="21"/>
        <v>0</v>
      </c>
      <c r="AA31" s="1125">
        <f t="shared" si="21"/>
        <v>989</v>
      </c>
      <c r="AB31" s="1125">
        <f t="shared" si="21"/>
        <v>2012</v>
      </c>
      <c r="AC31" s="1125">
        <f t="shared" si="21"/>
        <v>1084</v>
      </c>
      <c r="AD31" s="1125">
        <f t="shared" si="21"/>
        <v>0</v>
      </c>
      <c r="AE31" s="1127">
        <f t="shared" si="21"/>
        <v>0</v>
      </c>
      <c r="AF31" s="1128">
        <f t="shared" si="21"/>
        <v>0</v>
      </c>
      <c r="AG31" s="1129">
        <f t="shared" si="21"/>
        <v>0</v>
      </c>
      <c r="AH31" s="1127">
        <f t="shared" si="21"/>
        <v>0</v>
      </c>
      <c r="AI31" s="1117">
        <f t="shared" si="21"/>
        <v>355</v>
      </c>
      <c r="AJ31" s="1117">
        <f t="shared" si="21"/>
        <v>0</v>
      </c>
      <c r="AK31" s="1127">
        <f t="shared" si="21"/>
        <v>0</v>
      </c>
      <c r="AL31" s="1183">
        <f>IF(ISNUMBER(NºAsuntos!G31/NºAsuntos!E31),NºAsuntos!G31/NºAsuntos!E31," - ")</f>
        <v>0.86060855263157898</v>
      </c>
      <c r="AM31" s="1184">
        <f>IF(ISNUMBER(((NºAsuntos!I31/NºAsuntos!G31)*11)/factor_trimestre),((NºAsuntos!I31/NºAsuntos!G31)*11)/factor_trimestre," - ")</f>
        <v>14.205924510272336</v>
      </c>
      <c r="AN31" s="1184">
        <f>IF(ISNUMBER('Resol  Asuntos'!D31/NºAsuntos!G31),'Resol  Asuntos'!D31/NºAsuntos!G31," - ")</f>
        <v>0.16961299569995222</v>
      </c>
      <c r="AO31" s="1185">
        <f>IF(ISNUMBER((NºAsuntos!C31+NºAsuntos!E31)/NºAsuntos!G31),(NºAsuntos!C31+NºAsuntos!E31)/NºAsuntos!G31," - ")</f>
        <v>2.3406593406593408</v>
      </c>
      <c r="AP31" s="1186" t="str">
        <f t="shared" si="2"/>
        <v xml:space="preserve"> - </v>
      </c>
      <c r="AQ31" s="1187">
        <f>IF(OR(ISNUMBER(FIND("01",Criterios!A8,1)),ISNUMBER(FIND("02",Criterios!A8,1)),ISNUMBER(FIND("03",Criterios!A8,1)),ISNUMBER(FIND("04",Criterios!A8,1))),(I31-W31+K31)/(F31-K31),(H31-W31+K31)/(F31-K31))</f>
        <v>-1.4729907773386035</v>
      </c>
      <c r="AR31" s="1188">
        <f>IF(ISNUMBER((Datos!P31-Datos!Q31)/(Datos!R31-Datos!P31+Datos!Q31)),(Datos!P31-Datos!Q31)/(Datos!R31-Datos!P31+Datos!Q31)," - ")</f>
        <v>-7.4517019319227232E-2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380.38611962057712</v>
      </c>
      <c r="G33" s="277">
        <f>IF(ISNUMBER(STDEV(G8:G30)),STDEV(G8:G30),"-")</f>
        <v>414.98823850229553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501.53858513672941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93.271876024570545</v>
      </c>
      <c r="AJ33" s="276">
        <f t="shared" si="25"/>
        <v>0</v>
      </c>
      <c r="AK33" s="278">
        <f t="shared" si="25"/>
        <v>0</v>
      </c>
      <c r="AL33" s="273">
        <f t="shared" si="25"/>
        <v>9.9280715480897105E-2</v>
      </c>
      <c r="AM33" s="274">
        <f t="shared" si="25"/>
        <v>5.8192483240032793</v>
      </c>
      <c r="AN33" s="274">
        <f t="shared" si="25"/>
        <v>0.18951863589850201</v>
      </c>
      <c r="AO33" s="275">
        <f t="shared" si="25"/>
        <v>0.51745157047887569</v>
      </c>
      <c r="AP33" s="317" t="str">
        <f t="shared" si="25"/>
        <v>-</v>
      </c>
      <c r="AQ33" s="318">
        <f t="shared" si="25"/>
        <v>0.43737975900813109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wZFwtIBmiZs7AhvHaW/WNOyWMAKNL5SNnx7Z6iuambzU0zu8rsPwqo9f6z6a5q6ebUnXydoQK5uRhRm2+vL1A==" saltValue="vMVt2mwBYTUkGdMnIQ3u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MOTILLA DEL PALANCAR</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-0.21052631578947367</v>
      </c>
      <c r="E10" s="393">
        <f>IF(ISNUMBER((Datos!J10-Datos!T10)/Datos!T10),(Datos!J10-Datos!T10)/Datos!T10," - ")</f>
        <v>0.7142857142857143</v>
      </c>
      <c r="F10" s="393">
        <f>IF(ISNUMBER((Datos!K10-Datos!U10)/Datos!U10),(Datos!K10-Datos!U10)/Datos!U10," - ")</f>
        <v>0.18181818181818182</v>
      </c>
      <c r="G10" s="394">
        <f>IF(ISNUMBER((Datos!L10-Datos!V10)/Datos!V10),(Datos!L10-Datos!V10)/Datos!V10," - ")</f>
        <v>-6.6666666666666666E-2</v>
      </c>
      <c r="H10" s="244">
        <f>IF(ISNUMBER((Datos!M10-Datos!W10)/Datos!W10),(Datos!M10-Datos!W10)/Datos!W10," - ")</f>
        <v>0.6</v>
      </c>
      <c r="I10" s="395">
        <f>IF(ISNUMBER((Tasas!C10-Datos!BE10)/Datos!BE10),(Tasas!C10-Datos!BE10)/Datos!BE10," - ")</f>
        <v>-0.21025641025641023</v>
      </c>
      <c r="J10" s="394">
        <f>IF(ISNUMBER((Tasas!D10-Datos!BF10)/Datos!BF10),(Tasas!D10-Datos!BF10)/Datos!BF10," - ")</f>
        <v>0.35384615384615398</v>
      </c>
      <c r="K10" s="396">
        <f>IF(ISNUMBER((Tasas!E10-Datos!BG10)/Datos!BG10),(Tasas!E10-Datos!BG10)/Datos!BG10," - ")</f>
        <v>-0.12130177514792896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3.0303030303030304E-2</v>
      </c>
      <c r="I12" s="395">
        <f>IF(ISNUMBER((Tasas!C12-Datos!BE12)/Datos!BE12),(Tasas!C12-Datos!BE12)/Datos!BE12," - ")</f>
        <v>-0.14405308429589592</v>
      </c>
      <c r="J12" s="394">
        <f>IF(ISNUMBER((Tasas!D12-Datos!BF12)/Datos!BF12),(Tasas!D12-Datos!BF12)/Datos!BF12," - ")</f>
        <v>-0.39608391608391613</v>
      </c>
      <c r="K12" s="396">
        <f>IF(ISNUMBER((Tasas!E12-Datos!BG12)/Datos!BG12),(Tasas!E12-Datos!BG12)/Datos!BG12," - ")</f>
        <v>-9.5202142077947846E-2</v>
      </c>
      <c r="M12" t="e">
        <f>IF(Monitorios="SI",Datos!CE12,0)</f>
        <v>#REF!</v>
      </c>
      <c r="N12" t="e">
        <f>IF(Monitorios="SI",Datos!CF12,0)</f>
        <v>#REF!</v>
      </c>
      <c r="O12" t="e">
        <f>IF(Monitorios="SI",Datos!CG12,0)</f>
        <v>#REF!</v>
      </c>
      <c r="P12" t="e">
        <f>IF(Monitorios="SI",Datos!CH12,0)</f>
        <v>#REF!</v>
      </c>
      <c r="Q12">
        <f>IF(J_V="SI",0,Datos!AG12)</f>
        <v>46</v>
      </c>
      <c r="R12">
        <f>IF(J_V="SI",0,Datos!AH12)</f>
        <v>51</v>
      </c>
      <c r="S12">
        <f>IF(J_V="SI",0,Datos!AI12)</f>
        <v>62</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4.4334975369458129E-2</v>
      </c>
      <c r="I14" s="402">
        <f>IF(ISNUMBER((Tasas!C14-Datos!BE14)/Datos!BE14),(Tasas!C14-Datos!BE14)/Datos!BE14," - ")</f>
        <v>-0.14432429662276433</v>
      </c>
      <c r="J14" s="400">
        <f>IF(ISNUMBER((Tasas!D14-Datos!BF14)/Datos!BF14),(Tasas!D14-Datos!BF14)/Datos!BF14," - ")</f>
        <v>-0.38339629456827651</v>
      </c>
      <c r="K14" s="403">
        <f>IF(ISNUMBER((Tasas!E14-Datos!BG14)/Datos!BG14),(Tasas!E14-Datos!BG14)/Datos!BG14," - ")</f>
        <v>-9.5248808051053777E-2</v>
      </c>
      <c r="M14" t="e">
        <f>IF(Monitorios="SI",Datos!CE14,0)</f>
        <v>#REF!</v>
      </c>
      <c r="N14" t="e">
        <f>IF(Monitorios="SI",Datos!CF14,0)</f>
        <v>#REF!</v>
      </c>
      <c r="O14" t="e">
        <f>IF(Monitorios="SI",Datos!CG14,0)</f>
        <v>#REF!</v>
      </c>
      <c r="P14" t="e">
        <f>IF(Monitorios="SI",Datos!CH14,0)</f>
        <v>#REF!</v>
      </c>
      <c r="Q14">
        <f>IF(J_V="SI",0,Datos!AG14)</f>
        <v>46</v>
      </c>
      <c r="R14">
        <f>IF(J_V="SI",0,Datos!AH14)</f>
        <v>51</v>
      </c>
      <c r="S14">
        <f>IF(J_V="SI",0,Datos!AI14)</f>
        <v>62</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0.14402173913043478</v>
      </c>
      <c r="E17" s="393">
        <f>IF(ISNUMBER(
   IF(D_I="SI",(Datos!J17-Datos!T17)/Datos!T17,(Datos!J17+Datos!AD17-(Datos!T17+Datos!AL17))/(Datos!T17+Datos!AL17))
     ),IF(D_I="SI",(Datos!J17-Datos!T17)/Datos!T17,(Datos!J17+Datos!AD17-(Datos!T17+Datos!AL17))/(Datos!T17+Datos!AL17))," - ")</f>
        <v>2.3396880415944541E-2</v>
      </c>
      <c r="F17" s="393">
        <f>IF(ISNUMBER(
   IF(D_I="SI",(Datos!K17-Datos!U17)/Datos!U17,(Datos!K17+Datos!AE17-(Datos!U17+Datos!AM17))/(Datos!U17+Datos!AM17))
     ),IF(D_I="SI",(Datos!K17-Datos!U17)/Datos!U17,(Datos!K17+Datos!AE17-(Datos!U17+Datos!AM17))/(Datos!U17+Datos!AM17))," - ")</f>
        <v>-5.1477597712106769E-2</v>
      </c>
      <c r="G17" s="394">
        <f>IF(ISNUMBER(
   IF(D_I="SI",(Datos!L17-Datos!V17)/Datos!V17,(Datos!L17+Datos!AF17-(Datos!V17+Datos!AN17))/(Datos!V17+Datos!AN17))
     ),IF(D_I="SI",(Datos!L17-Datos!V17)/Datos!V17,(Datos!L17+Datos!AF17-(Datos!V17+Datos!AN17))/(Datos!V17+Datos!AN17))," - ")</f>
        <v>0.10451306413301663</v>
      </c>
      <c r="H17" s="244">
        <f>IF(ISNUMBER((Datos!M17-Datos!W17)/Datos!W17),(Datos!M17-Datos!W17)/Datos!W17," - ")</f>
        <v>-0.14569536423841059</v>
      </c>
      <c r="I17" s="395">
        <f>IF(ISNUMBER((Tasas!C17-Datos!BE17)/Datos!BE17),(Tasas!C17-Datos!BE17)/Datos!BE17," - ")</f>
        <v>0.16445648670907992</v>
      </c>
      <c r="J17" s="394">
        <f>IF(ISNUMBER((Tasas!D17-Datos!BF17)/Datos!BF17),(Tasas!D17-Datos!BF17)/Datos!BF17," - ")</f>
        <v>-9.9331092548836888E-2</v>
      </c>
      <c r="K17" s="396">
        <f>IF(ISNUMBER((Tasas!E17-Datos!BG17)/Datos!BG17),(Tasas!E17-Datos!BG17)/Datos!BG17," - ")</f>
        <v>0.12846082263167699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-0.15094339622641509</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0.14583333333333334</v>
      </c>
      <c r="G18" s="394">
        <f>IF(ISNUMBER(
   IF(D_I="SI",(Datos!L18-Datos!V18)/Datos!V18,(Datos!L18+Datos!AF18-(Datos!V18+Datos!AN18))/(Datos!V18+Datos!AN18))
     ),IF(D_I="SI",(Datos!L18-Datos!V18)/Datos!V18,(Datos!L18+Datos!AF18-(Datos!V18+Datos!AN18))/(Datos!V18+Datos!AN18))," - ")</f>
        <v>0</v>
      </c>
      <c r="H18" s="244">
        <f>IF(ISNUMBER((Datos!M18-Datos!W18)/Datos!W18),(Datos!M18-Datos!W18)/Datos!W18," - ")</f>
        <v>-6.6666666666666666E-2</v>
      </c>
      <c r="I18" s="395">
        <f>IF(ISNUMBER((Tasas!C18-Datos!BE18)/Datos!BE18),(Tasas!C18-Datos!BE18)/Datos!BE18," - ")</f>
        <v>-0.12727272727272723</v>
      </c>
      <c r="J18" s="394">
        <f>IF(ISNUMBER((Tasas!D18-Datos!BF18)/Datos!BF18),(Tasas!D18-Datos!BF18)/Datos!BF18," - ")</f>
        <v>-0.18545454545454554</v>
      </c>
      <c r="K18" s="396">
        <f>IF(ISNUMBER((Tasas!E18-Datos!BG18)/Datos!BG18),(Tasas!E18-Datos!BG18)/Datos!BG18," - ")</f>
        <v>-4.0618955512572476E-2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0.12420785804816223</v>
      </c>
      <c r="E23" s="399">
        <f>IF(ISNUMBER(
   IF(D_I="SI",(Datos!J23-Datos!T23)/Datos!T23,(Datos!J23+Datos!AD23-(Datos!T23+Datos!AL23))/(Datos!T23+Datos!AL23))
     ),IF(D_I="SI",(Datos!J23-Datos!T23)/Datos!T23,(Datos!J23+Datos!AD23-(Datos!T23+Datos!AL23))/(Datos!T23+Datos!AL23))," - ")</f>
        <v>3.9452495974235106E-2</v>
      </c>
      <c r="F23" s="399">
        <f>IF(ISNUMBER(
   IF(D_I="SI",(Datos!K23-Datos!U23)/Datos!U23,(Datos!K23+Datos!AE23-(Datos!U23+Datos!AM23))/(Datos!U23+Datos!AM23))
     ),IF(D_I="SI",(Datos!K23-Datos!U23)/Datos!U23,(Datos!K23+Datos!AE23-(Datos!U23+Datos!AM23))/(Datos!U23+Datos!AM23))," - ")</f>
        <v>-3.4934497816593885E-2</v>
      </c>
      <c r="G23" s="400">
        <f>IF(ISNUMBER(
   IF(D_I="SI",(Datos!L23-Datos!V23)/Datos!V23,(Datos!L23+Datos!AF23-(Datos!V23+Datos!AN23))/(Datos!V23+Datos!AN23))
     ),IF(D_I="SI",(Datos!L23-Datos!V23)/Datos!V23,(Datos!L23+Datos!AF23-(Datos!V23+Datos!AN23))/(Datos!V23+Datos!AN23))," - ")</f>
        <v>9.92108229988726E-2</v>
      </c>
      <c r="H23" s="401">
        <f>IF(ISNUMBER((Datos!M23-Datos!W23)/Datos!W23),(Datos!M23-Datos!W23)/Datos!W23," - ")</f>
        <v>-0.13855421686746988</v>
      </c>
      <c r="I23" s="402">
        <f>IF(ISNUMBER((Tasas!C23-Datos!BE23)/Datos!BE23),(Tasas!C23-Datos!BE23)/Datos!BE23," - ")</f>
        <v>0.13900126003050589</v>
      </c>
      <c r="J23" s="400">
        <f>IF(ISNUMBER((Tasas!D23-Datos!BF23)/Datos!BF23),(Tasas!D23-Datos!BF23)/Datos!BF23," - ")</f>
        <v>-0.10737065910701614</v>
      </c>
      <c r="K23" s="403">
        <f>IF(ISNUMBER((Tasas!E23-Datos!BG23)/Datos!BG23),(Tasas!E23-Datos!BG23)/Datos!BG23," - ")</f>
        <v>0.11119725699619702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0.19236346060898984</v>
      </c>
      <c r="E31" s="409">
        <f>IF(ISNUMBER(
   IF(J_V="SI",(Datos!J31-Datos!T31)/Datos!T31,(Datos!J31+Datos!Z31-(Datos!T31+Datos!AH31))/(Datos!T31+Datos!AH31))
     ),IF(J_V="SI",(Datos!J31-Datos!T31)/Datos!T31,(Datos!J31+Datos!Z31-(Datos!T31+Datos!AH31))/(Datos!T31+Datos!AH31))," - ")</f>
        <v>5.0539956803455723E-2</v>
      </c>
      <c r="F31" s="409">
        <f>IF(ISNUMBER(
   IF(J_V="SI",(Datos!K31-Datos!U31)/Datos!U31,(Datos!K31+Datos!AA31-(Datos!U31+Datos!AI31))/(Datos!U31+Datos!AI31))
     ),IF(J_V="SI",(Datos!K31-Datos!U31)/Datos!U31,(Datos!K31+Datos!AA31-(Datos!U31+Datos!AI31))/(Datos!U31+Datos!AI31))," - ")</f>
        <v>9.1240875912408759E-2</v>
      </c>
      <c r="G31" s="410">
        <f>IF(ISNUMBER(
   IF(J_V="SI",(Datos!L31-Datos!V31)/Datos!V31,(Datos!L31+Datos!AB31-(Datos!V31+Datos!AJ31))/(Datos!V31+Datos!AJ31))
     ),IF(J_V="SI",(Datos!L31-Datos!V31)/Datos!V31,(Datos!L31+Datos!AB31-(Datos!V31+Datos!AJ31))/(Datos!V31+Datos!AJ31))," - ")</f>
        <v>9.5662748277259832E-2</v>
      </c>
      <c r="H31" s="411">
        <f>IF(ISNUMBER((Datos!M31-Datos!W31)/Datos!W31),(Datos!M31-Datos!W31)/Datos!W31," - ")</f>
        <v>-3.7940379403794036E-2</v>
      </c>
      <c r="I31" s="408">
        <f>IF(ISNUMBER((Tasas!C31-Datos!BE31)/Datos!BE31),(Tasas!C31-Datos!BE31)/Datos!BE31," - ")</f>
        <v>4.0521505952146727E-3</v>
      </c>
      <c r="J31" s="409">
        <f>IF(ISNUMBER((Tasas!D31-Datos!BF31)/Datos!BF31),(Tasas!D31-Datos!BF31)/Datos!BF31," - ")</f>
        <v>-0.25214315918963592</v>
      </c>
      <c r="K31" s="410">
        <f>IF(ISNUMBER((Tasas!E31-Datos!BG31)/Datos!BG31),(Tasas!E31-Datos!BG31)/Datos!BG31," - ")</f>
        <v>2.4038461538461647E-2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0.18357710650078649</v>
      </c>
      <c r="E33" s="303">
        <f t="shared" si="1"/>
        <v>0.32200226265250781</v>
      </c>
      <c r="F33" s="303">
        <f t="shared" si="1"/>
        <v>0.12061848968227543</v>
      </c>
      <c r="G33" s="304">
        <f t="shared" si="1"/>
        <v>8.2692285006153915E-2</v>
      </c>
      <c r="H33" s="310">
        <f t="shared" si="1"/>
        <v>0.27938745696506045</v>
      </c>
      <c r="I33" s="302">
        <f t="shared" si="1"/>
        <v>0.16187978055761362</v>
      </c>
      <c r="J33" s="303">
        <f t="shared" si="1"/>
        <v>0.2732790845203546</v>
      </c>
      <c r="K33" s="304">
        <f t="shared" si="1"/>
        <v>0.11067919746657814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X5nqQSXYkKfCnpuKocQQBTOK8Bt7y3T2CcrLelf6G7S48FxLJywBXHBvp6WQsABr1UlVmhaSOqOymLkt0CdqQ==" saltValue="OwwZqabmFLeT15nXCofTY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